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HUdawilkq8k8P4Rg3RMmQ3kqM2NmV7lHJbsKiFLsibgtCtIV1X5HZE6u0jG5Asu2qoRszC8K/0gyZ40YOVkBsA==" workbookSaltValue="QMx5b1Llp8xPiJFd97m4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H13" i="12"/>
  <c r="T13" i="12"/>
  <c r="T13" i="16"/>
  <c r="T13" i="20"/>
  <c r="BB13" i="13"/>
  <c r="BF9" i="8"/>
  <c r="J18" i="17"/>
  <c r="BG15" i="13"/>
  <c r="BA18" i="13"/>
  <c r="BE15" i="13"/>
  <c r="AH20" i="20"/>
  <c r="AL20" i="20"/>
  <c r="AB20" i="20"/>
  <c r="U10" i="11"/>
  <c r="AO20" i="20"/>
  <c r="AN20" i="20"/>
  <c r="Y20" i="20"/>
  <c r="AY18" i="8" l="1"/>
  <c r="T19" i="8"/>
  <c r="AO12" i="11"/>
  <c r="BD12" i="8"/>
  <c r="H12" i="7" s="1"/>
  <c r="AC10" i="11"/>
  <c r="E12" i="6"/>
  <c r="C17" i="6"/>
  <c r="N13" i="2"/>
  <c r="AL9" i="11"/>
  <c r="F9" i="2"/>
  <c r="AL12" i="11"/>
  <c r="R8" i="9"/>
  <c r="X12" i="21" s="1"/>
  <c r="B10" i="6"/>
  <c r="H12" i="2"/>
  <c r="AY13" i="8"/>
  <c r="L9" i="14"/>
  <c r="C10" i="6"/>
  <c r="I10" i="12" s="1"/>
  <c r="AY13" i="13"/>
  <c r="BG15" i="8"/>
  <c r="K15" i="7" s="1"/>
  <c r="BD16" i="8"/>
  <c r="AO17" i="11"/>
  <c r="L16" i="14"/>
  <c r="L17" i="14"/>
  <c r="F15" i="17"/>
  <c r="AQ15" i="17" s="1"/>
  <c r="L12" i="14"/>
  <c r="BA13" i="13"/>
  <c r="T17" i="11"/>
  <c r="BH9" i="16"/>
  <c r="BJ17" i="11"/>
  <c r="BH15" i="16"/>
  <c r="V11" i="16"/>
  <c r="BF16" i="11"/>
  <c r="BL12" i="11"/>
  <c r="BK11" i="11"/>
  <c r="BM12" i="11"/>
  <c r="BI15" i="11"/>
  <c r="BJ12" i="11"/>
  <c r="BG15" i="11"/>
  <c r="BK17" i="11"/>
  <c r="AP17" i="20"/>
  <c r="BW9" i="20"/>
  <c r="BV16" i="16"/>
  <c r="BV15" i="16"/>
  <c r="BU9" i="17"/>
  <c r="BU17" i="17"/>
  <c r="BV9" i="16"/>
  <c r="T16" i="11"/>
  <c r="P15" i="17"/>
  <c r="P18" i="17" s="1"/>
  <c r="P19" i="17" s="1"/>
  <c r="BL15" i="11"/>
  <c r="BH10" i="16"/>
  <c r="BM17" i="11"/>
  <c r="BM9" i="11"/>
  <c r="BH12" i="16"/>
  <c r="BK10" i="11"/>
  <c r="L15" i="2"/>
  <c r="L17" i="2"/>
  <c r="V10" i="16"/>
  <c r="V9" i="16"/>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U9" i="17"/>
  <c r="U19" i="17" s="1"/>
  <c r="BL16" i="11"/>
  <c r="AQ12" i="21"/>
  <c r="BG16" i="11"/>
  <c r="BK16" i="11"/>
  <c r="AQ10" i="21"/>
  <c r="BH10" i="11"/>
  <c r="BG12" i="11"/>
  <c r="V12" i="16"/>
  <c r="U10" i="17"/>
  <c r="BV11" i="16"/>
  <c r="BV12" i="16"/>
  <c r="BV17"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K9" i="12" s="1"/>
  <c r="H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8" i="2"/>
  <c r="F13" i="2"/>
  <c r="BG13" i="13"/>
  <c r="BF15" i="11"/>
  <c r="Q15" i="17"/>
  <c r="BL10" i="11"/>
  <c r="BF12" i="11"/>
  <c r="S15" i="16"/>
  <c r="AZ16" i="11"/>
  <c r="BU16" i="17"/>
  <c r="BV10" i="16"/>
  <c r="BW15" i="20"/>
  <c r="BW16" i="20"/>
  <c r="BW17" i="20"/>
  <c r="BU15" i="17"/>
  <c r="AZ9" i="11"/>
  <c r="AZ19" i="11" s="1"/>
  <c r="R17" i="20"/>
  <c r="R18" i="20" s="1"/>
  <c r="AP15" i="20"/>
  <c r="BJ15" i="11"/>
  <c r="BH9" i="11"/>
  <c r="AP10" i="21"/>
  <c r="V17" i="16"/>
  <c r="S17" i="16"/>
  <c r="BF17" i="11"/>
  <c r="Q17" i="20"/>
  <c r="Q18" i="20" s="1"/>
  <c r="BH15" i="11"/>
  <c r="V15" i="11"/>
  <c r="AP16" i="20"/>
  <c r="BU10" i="17"/>
  <c r="BW11" i="20"/>
  <c r="BU12" i="17"/>
  <c r="AZ12" i="11"/>
  <c r="BI9" i="11"/>
  <c r="BH11" i="11"/>
  <c r="BJ16" i="11"/>
  <c r="L9" i="2"/>
  <c r="BW12" i="20"/>
  <c r="BW10" i="20"/>
  <c r="Q17" i="17"/>
  <c r="BJ10" i="11"/>
  <c r="BH16" i="11"/>
  <c r="L16" i="2"/>
  <c r="J13" i="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S18" i="16"/>
  <c r="S19" i="16" s="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<sst xmlns="http://schemas.openxmlformats.org/spreadsheetml/2006/main" count="2102" uniqueCount="917">
  <si>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</si>
  <si>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</si>
  <si>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</si>
  <si>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</si>
  <si>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</si>
  <si>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</si>
  <si>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</si>
  <si>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</si>
  <si>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</si>
  <si>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</si>
  <si>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</si>
  <si>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</si>
  <si>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</si>
  <si>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</si>
  <si>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</si>
  <si>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</si>
  <si>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</si>
  <si>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</si>
  <si>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</si>
  <si>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</si>
  <si>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</si>
  <si>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</si>
  <si>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</si>
  <si>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</si>
  <si>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</si>
  <si>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</si>
  <si>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</si>
  <si>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</si>
  <si>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</si>
  <si>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</si>
  <si>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</si>
  <si>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</si>
  <si>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</si>
  <si>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</si>
  <si>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</si>
  <si>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</si>
  <si>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</si>
  <si>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</si>
  <si>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</si>
  <si>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</si>
  <si>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</si>
  <si>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</si>
  <si>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</si>
  <si>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</si>
  <si>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</si>
  <si>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</si>
  <si>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</si>
  <si>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</si>
  <si>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</si>
  <si>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</si>
  <si>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</si>
  <si>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</si>
  <si>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</si>
  <si>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</si>
  <si>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</si>
  <si>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</si>
  <si>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</si>
  <si>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</si>
  <si>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</si>
  <si>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</si>
  <si>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</si>
  <si>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</si>
  <si>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</si>
  <si>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</si>
  <si>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</si>
  <si>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</si>
  <si>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</si>
  <si>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</si>
  <si>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</si>
  <si>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</si>
  <si>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</si>
  <si>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</si>
  <si>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</si>
  <si>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</si>
  <si>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</si>
  <si>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</si>
  <si>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</si>
  <si>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</si>
  <si>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</si>
  <si>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</si>
  <si>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</si>
  <si>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</si>
  <si>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</si>
  <si>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</si>
  <si>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</si>
  <si>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</si>
  <si>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</si>
  <si>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</si>
  <si>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</si>
  <si>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</si>
  <si>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</si>
  <si>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</si>
  <si>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</si>
  <si>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</si>
  <si>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</si>
  <si>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</si>
  <si>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</si>
  <si>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</si>
  <si>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</si>
  <si>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</si>
  <si>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</si>
  <si>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</si>
  <si>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</si>
  <si>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</si>
  <si>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</si>
  <si>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</si>
  <si>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</si>
  <si>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</si>
  <si>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</si>
  <si>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</si>
  <si>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</si>
  <si>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</si>
  <si>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</si>
  <si>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</si>
  <si>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</si>
  <si>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</si>
  <si>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</si>
  <si>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</si>
  <si>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</si>
  <si>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</si>
  <si>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</si>
  <si>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</si>
  <si>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</si>
  <si>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</si>
  <si>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</si>
  <si>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</si>
  <si>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</si>
  <si>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</si>
  <si>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</si>
  <si>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</si>
  <si>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</si>
  <si>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</si>
  <si>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</si>
  <si>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</si>
  <si>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</si>
  <si>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</si>
  <si>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</si>
  <si>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</si>
  <si>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</si>
  <si>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</si>
  <si>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</si>
  <si>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</si>
  <si>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</si>
  <si>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</si>
  <si>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</si>
  <si>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</si>
  <si>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</si>
  <si>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</si>
  <si>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</si>
  <si>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</si>
  <si>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</si>
  <si>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</si>
  <si>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</si>
  <si>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</si>
  <si>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</si>
  <si>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</si>
  <si>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</si>
  <si>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</si>
  <si>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</si>
  <si>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</si>
  <si>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</si>
  <si>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</si>
  <si>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</si>
  <si>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</si>
  <si>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</si>
  <si>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</si>
  <si>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</si>
  <si>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</si>
  <si>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</si>
  <si>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</si>
  <si>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</si>
  <si>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</si>
  <si>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</si>
  <si>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</si>
  <si>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</si>
  <si>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</si>
  <si>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</si>
  <si>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</si>
  <si>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</si>
  <si>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</si>
  <si>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</si>
  <si>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</si>
  <si>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</si>
  <si>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</si>
  <si>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</si>
  <si>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</si>
  <si>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</si>
  <si>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</si>
  <si>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</si>
  <si>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</si>
  <si>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</si>
  <si>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</si>
  <si>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</si>
  <si>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</si>
  <si>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</si>
  <si>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</si>
  <si>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</si>
  <si>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</si>
  <si>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</si>
  <si>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</si>
  <si>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</si>
  <si>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</si>
  <si>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</si>
  <si>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</si>
  <si>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</si>
  <si>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</si>
  <si>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</si>
  <si>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</si>
  <si>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</si>
  <si>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</si>
  <si>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</si>
  <si>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</si>
  <si>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</si>
  <si>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</si>
  <si>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</si>
  <si>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</si>
  <si>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</si>
  <si>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</si>
  <si>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</si>
  <si>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</si>
  <si>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</si>
  <si>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</si>
  <si>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</si>
  <si>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</si>
  <si>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</si>
  <si>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</si>
  <si>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</si>
  <si>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</si>
  <si>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</si>
  <si>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</si>
  <si>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</si>
  <si>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</si>
  <si>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</si>
  <si>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</si>
  <si>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</si>
  <si>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</si>
  <si>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</si>
  <si>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</si>
  <si>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</si>
  <si>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</si>
  <si>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</si>
  <si>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</si>
  <si>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</si>
  <si>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</si>
  <si>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</si>
  <si>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</si>
  <si>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</si>
  <si>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</si>
  <si>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</si>
  <si>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</si>
  <si>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</si>
  <si>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</si>
  <si>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</si>
  <si>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</si>
  <si>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</si>
  <si>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</si>
  <si>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</si>
  <si>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</si>
  <si>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</si>
  <si>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</si>
  <si>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</si>
  <si>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</si>
  <si>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</si>
  <si>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</si>
  <si>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</si>
  <si>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</si>
  <si>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</si>
  <si>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</si>
  <si>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</si>
  <si>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</si>
  <si>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</si>
  <si>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</si>
  <si>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</si>
  <si>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</si>
  <si>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</si>
  <si>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</si>
  <si>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</si>
  <si>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</si>
  <si>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</si>
  <si>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</si>
  <si>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</si>
  <si>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</si>
  <si>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</si>
  <si>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</si>
  <si>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</si>
  <si>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</si>
  <si>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</si>
  <si>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</si>
  <si>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</si>
  <si>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</si>
  <si>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</si>
  <si>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</si>
  <si>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</si>
  <si>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</si>
  <si>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</si>
  <si>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</si>
  <si>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</si>
  <si>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</si>
  <si>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</si>
  <si>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</si>
  <si>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</si>
  <si>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</si>
  <si>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</si>
  <si>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</si>
  <si>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</si>
  <si>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</si>
  <si>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</si>
  <si>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</si>
  <si>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</si>
  <si>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</si>
  <si>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</si>
  <si>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</si>
  <si>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</si>
  <si>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</si>
  <si>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</si>
  <si>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</si>
  <si>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</si>
  <si>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</si>
  <si>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</si>
  <si>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</si>
  <si>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</si>
  <si>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</si>
  <si>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</si>
  <si>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</si>
  <si>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</si>
  <si>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</si>
  <si>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</si>
  <si>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</si>
  <si>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</si>
  <si>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</si>
  <si>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</si>
  <si>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</si>
  <si>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</si>
  <si>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</si>
  <si>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</si>
  <si>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</si>
  <si>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</si>
  <si>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</si>
  <si>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</si>
  <si>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</si>
  <si>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</si>
  <si>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</si>
  <si>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</si>
  <si>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</si>
  <si>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</si>
  <si>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</si>
  <si>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</si>
  <si>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</si>
  <si>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</si>
  <si>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</si>
  <si>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</si>
  <si>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</si>
  <si>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</si>
  <si>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</si>
  <si>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</si>
  <si>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</si>
  <si>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</si>
  <si>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</si>
  <si>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</si>
  <si>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</si>
  <si>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</si>
  <si>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</si>
  <si>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</si>
  <si>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</si>
  <si>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</si>
  <si>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</si>
  <si>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</si>
  <si>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</si>
  <si>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</si>
  <si>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</si>
  <si>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</si>
  <si>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</si>
  <si>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</si>
  <si>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</si>
  <si>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</si>
  <si>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</si>
  <si>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</si>
  <si>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</si>
  <si>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</si>
  <si>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</si>
  <si>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</si>
  <si>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</si>
  <si>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</si>
  <si>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</si>
  <si>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</si>
  <si>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</si>
  <si>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</si>
  <si>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</si>
  <si>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</si>
  <si>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</si>
  <si>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</si>
  <si>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</si>
  <si>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</si>
  <si>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</si>
  <si>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</si>
  <si>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</si>
  <si>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</si>
  <si>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</si>
  <si>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</si>
  <si>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</si>
  <si>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</si>
  <si>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</si>
  <si>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</si>
  <si>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</si>
  <si>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</si>
  <si>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</si>
  <si>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</si>
  <si>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</si>
  <si>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</si>
  <si>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</si>
  <si>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</si>
  <si>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</si>
  <si>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</si>
  <si>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</si>
  <si>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</si>
  <si>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</si>
  <si>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</si>
  <si>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</si>
  <si>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</si>
  <si>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</si>
  <si>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</si>
  <si>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</si>
  <si>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</si>
  <si>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</si>
  <si>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</si>
  <si>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</si>
  <si>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</si>
  <si>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</si>
  <si>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</si>
  <si>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</si>
  <si>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</si>
  <si>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</si>
  <si>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</si>
  <si>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</si>
  <si>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</si>
  <si>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</si>
  <si>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</si>
  <si>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</si>
  <si>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</si>
  <si>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</si>
  <si>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</si>
  <si>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</si>
  <si>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</si>
  <si>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</si>
  <si>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</si>
  <si>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</si>
  <si>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</si>
  <si>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</si>
  <si>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</si>
  <si>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</si>
  <si>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</si>
  <si>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</si>
  <si>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</si>
  <si>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</si>
  <si>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</si>
  <si>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</si>
  <si>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</si>
  <si>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</si>
  <si>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</si>
  <si>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</si>
  <si>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</si>
  <si>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</si>
  <si>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</si>
  <si>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</si>
  <si>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</si>
  <si>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</si>
  <si>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</si>
  <si>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</si>
  <si>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</si>
  <si>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</si>
  <si>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</si>
  <si>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</si>
  <si>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</si>
  <si>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</si>
  <si>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</si>
  <si>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</si>
  <si>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</si>
  <si>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</si>
  <si>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</si>
  <si>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</si>
  <si>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</si>
  <si>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</si>
  <si>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</si>
  <si>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</si>
  <si>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</si>
  <si>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</si>
  <si>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</si>
  <si>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</si>
  <si>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</si>
  <si>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</si>
  <si>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</si>
  <si>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</si>
  <si>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</si>
  <si>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</si>
  <si>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</si>
  <si>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</si>
  <si>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</si>
  <si>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</si>
  <si>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</si>
  <si>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</si>
  <si>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</si>
  <si>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</si>
  <si>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</si>
  <si>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</si>
  <si>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</si>
  <si>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</si>
  <si>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</si>
  <si>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</si>
  <si>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</si>
  <si>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</si>
  <si>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</si>
  <si>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</si>
  <si>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</si>
  <si>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</si>
  <si>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</si>
  <si>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</si>
  <si>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</si>
  <si>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</si>
  <si>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</si>
  <si>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</si>
  <si>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</si>
  <si>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</si>
  <si>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</si>
  <si>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</si>
  <si>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</si>
  <si>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</si>
  <si>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</si>
  <si>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</si>
  <si>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</si>
  <si>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</si>
  <si>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</si>
  <si>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</si>
  <si>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</si>
  <si>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</si>
  <si>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</si>
  <si>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</si>
  <si>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</si>
  <si>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</si>
  <si>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</si>
  <si>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</si>
  <si>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</si>
  <si>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</si>
  <si>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</si>
  <si>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</si>
  <si>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</si>
  <si>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</si>
  <si>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</si>
  <si>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</si>
  <si>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</si>
  <si>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</si>
  <si>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</si>
  <si>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</si>
  <si>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</si>
  <si>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</si>
  <si>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</si>
  <si>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</si>
  <si>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</si>
  <si>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</si>
  <si>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</si>
  <si>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</si>
  <si>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</si>
  <si>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</si>
  <si>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</si>
  <si>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</si>
  <si>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</si>
  <si>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</si>
  <si>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</si>
  <si>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</si>
  <si>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</si>
  <si>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</si>
  <si>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</si>
  <si>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</si>
  <si>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</si>
  <si>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</si>
  <si>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</si>
  <si>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</si>
  <si>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</si>
  <si>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</si>
  <si>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</si>
  <si>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</si>
  <si>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</si>
  <si>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</si>
  <si>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</si>
  <si>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</si>
  <si>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</si>
  <si>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</si>
  <si>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</si>
  <si>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</si>
  <si>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</si>
  <si>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</si>
  <si>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</si>
  <si>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</si>
  <si>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</si>
  <si>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</si>
  <si>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</si>
  <si>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</si>
  <si>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</si>
  <si>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</si>
  <si>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</si>
  <si>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</si>
  <si>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</si>
  <si>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</si>
  <si>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</si>
  <si>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</si>
  <si>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</si>
  <si>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</si>
  <si>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</si>
  <si>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</si>
  <si>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</si>
  <si>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</si>
  <si>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</si>
  <si>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</si>
  <si>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</si>
  <si>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</si>
  <si>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</si>
  <si>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</si>
  <si>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</si>
  <si>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</si>
  <si>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</si>
  <si>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</si>
  <si>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</si>
  <si>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</si>
  <si>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</si>
  <si>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</si>
  <si>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</si>
  <si>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</si>
  <si>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</si>
  <si>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</si>
  <si>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</si>
  <si>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</si>
  <si>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</si>
  <si>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</si>
  <si>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</si>
  <si>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</si>
  <si>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</si>
  <si>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</si>
  <si>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</si>
  <si>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</si>
  <si>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</si>
  <si>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</si>
  <si>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</si>
  <si>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</si>
  <si>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</si>
  <si>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</si>
  <si>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</si>
  <si>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</si>
  <si>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</si>
  <si>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</si>
  <si>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</si>
  <si>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</si>
  <si>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</si>
  <si>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</si>
  <si>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</si>
  <si>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</si>
  <si>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</si>
  <si>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</si>
  <si>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</si>
  <si>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</si>
  <si>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</si>
  <si>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</si>
  <si>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</si>
  <si>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</si>
  <si>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</si>
  <si>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</si>
  <si>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</si>
  <si>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</si>
  <si>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</si>
  <si>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</si>
  <si>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</si>
  <si>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</si>
  <si>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</si>
  <si>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</si>
  <si>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</si>
  <si>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</si>
  <si>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</si>
  <si>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</si>
  <si>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</si>
  <si>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</si>
  <si>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</si>
  <si>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</si>
  <si>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</si>
  <si>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</si>
  <si>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</si>
  <si>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</si>
  <si>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</si>
  <si>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</si>
  <si>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</si>
  <si>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</si>
  <si>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</si>
  <si>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</si>
  <si>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</si>
  <si>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</si>
  <si>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</si>
  <si>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</si>
  <si>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</si>
  <si>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</si>
  <si>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</si>
  <si>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</si>
  <si>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</si>
  <si>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</si>
  <si>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</si>
  <si>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</si>
  <si>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</si>
  <si>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</si>
  <si>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</si>
  <si>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</si>
  <si>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</si>
  <si>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</si>
  <si>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</si>
  <si>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</si>
  <si>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</si>
  <si>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</si>
  <si>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</si>
  <si>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</si>
  <si>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</si>
  <si>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</si>
  <si>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</si>
  <si>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</si>
  <si>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</si>
  <si>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</si>
  <si>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</si>
  <si>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</si>
  <si>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</si>
  <si>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</si>
  <si>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</si>
  <si>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</si>
  <si>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</si>
  <si>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</si>
  <si>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</si>
  <si>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</si>
  <si>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</si>
  <si>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</si>
  <si>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</si>
  <si>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</si>
  <si>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</si>
  <si>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</si>
  <si>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</si>
  <si>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</si>
  <si>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</si>
  <si>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</si>
  <si>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</si>
  <si>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</si>
  <si>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</si>
  <si>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</si>
  <si>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</si>
  <si>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</si>
  <si>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</si>
  <si>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</si>
  <si>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</si>
  <si>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</si>
  <si>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</si>
  <si>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</si>
  <si>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</si>
  <si>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</si>
  <si>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</si>
  <si>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</si>
  <si>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</si>
  <si>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</si>
  <si>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</si>
  <si>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</si>
  <si>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</si>
  <si>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</si>
  <si>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</si>
  <si>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</si>
  <si>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</si>
  <si>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</si>
  <si>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</si>
  <si>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</si>
  <si>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</si>
  <si>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</si>
  <si>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</si>
  <si>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</si>
  <si>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</si>
  <si>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</si>
  <si>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</si>
  <si>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</si>
  <si>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</si>
  <si>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</si>
  <si>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</si>
  <si>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</si>
  <si>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</si>
  <si>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</si>
  <si>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</si>
  <si>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</si>
  <si>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</si>
  <si>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</si>
  <si>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</si>
  <si>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</si>
  <si>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</si>
  <si>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</si>
  <si>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</si>
  <si>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</si>
  <si>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</si>
  <si>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</si>
  <si>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</si>
  <si>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</si>
  <si>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</si>
  <si>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</si>
  <si>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</si>
  <si>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</si>
  <si>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</si>
  <si>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</si>
  <si>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</si>
  <si>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</si>
  <si>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</si>
  <si>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</si>
  <si>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</si>
  <si>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</si>
  <si>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</si>
  <si>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</si>
  <si>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</si>
  <si>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</si>
  <si>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</si>
  <si>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</si>
  <si>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</si>
  <si>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</si>
  <si>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</si>
  <si>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</si>
  <si>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</si>
  <si>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</si>
  <si>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</si>
  <si>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</si>
  <si>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</si>
  <si>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</si>
  <si>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</si>
  <si>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</si>
  <si>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</si>
  <si>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</si>
  <si>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</si>
  <si>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</si>
  <si>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</si>
  <si>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</si>
  <si>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</si>
  <si>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</si>
  <si>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</si>
  <si>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</si>
  <si>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</si>
  <si>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</si>
  <si>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</si>
  <si>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</si>
  <si>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</si>
  <si>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</si>
  <si>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</si>
  <si>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</si>
  <si>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</si>
  <si>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</si>
  <si>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</si>
  <si>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</si>
  <si>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</si>
  <si>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</si>
  <si>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</si>
  <si>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</si>
  <si>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</si>
  <si>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</si>
  <si>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</si>
  <si>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</si>
  <si>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</si>
  <si>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</si>
  <si>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</si>
  <si>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</si>
  <si>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</si>
  <si>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</si>
  <si>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</si>
  <si>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</si>
  <si>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</si>
  <si>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</si>
  <si>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</si>
  <si>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</si>
  <si>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</si>
  <si>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</si>
  <si>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</si>
  <si>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</si>
  <si>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</si>
  <si>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</si>
  <si>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</si>
  <si>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</si>
  <si>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</si>
  <si>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</si>
  <si>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</si>
  <si>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</si>
  <si>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</si>
  <si>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</si>
  <si>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</si>
  <si>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</si>
  <si>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</si>
  <si>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</si>
  <si>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</si>
  <si>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</si>
  <si>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</si>
  <si>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</si>
  <si>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</si>
  <si>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</si>
  <si>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</si>
  <si>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</si>
  <si>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</si>
  <si>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</si>
  <si>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</si>
  <si>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</si>
  <si>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</si>
  <si>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</si>
  <si>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</si>
  <si>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</si>
  <si>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</si>
  <si>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</si>
  <si>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</si>
  <si>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</si>
  <si>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</si>
  <si>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</si>
  <si>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</si>
  <si>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</si>
  <si>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</si>
  <si>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</si>
  <si>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</si>
  <si>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</si>
  <si>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TARRAGONA</t>
  </si>
  <si>
    <t>Resumenes por Partidos Judiciales</t>
  </si>
  <si>
    <t>TORTOSA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</si>
</sst>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XumrfQFFi6f1QsPMWE/rhDRFCDLWEsKDoA6nplJz+mSM/7PMdQm3VjcPwDWxOoORMj3XCFxeh9imE/P/hPivQ==" saltValue="i2ohXvVknC7qD8EThUwD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44</v>
      </c>
      <c r="D10" s="225">
        <f>IF(ISNUMBER(Datos!I10),Datos!I10," - ")</f>
        <v>44</v>
      </c>
      <c r="E10" s="226">
        <f>IF(ISNUMBER(Datos!J10),Datos!J10," - ")</f>
        <v>13</v>
      </c>
      <c r="F10" s="226">
        <f>IF(ISNUMBER(Datos!K10),Datos!K10," - ")</f>
        <v>13</v>
      </c>
      <c r="G10" s="1034" t="str">
        <f>IF(Datos!E10&lt;&gt;"",Datos!E10,Datos!D10)</f>
        <v>37</v>
      </c>
      <c r="H10" s="227">
        <f>IF(ISNUMBER(Datos!L10),Datos!L10," - ")</f>
        <v>44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37.230769230769234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30.21764705882353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44</v>
      </c>
      <c r="D13" s="1049">
        <f>SUBTOTAL(9,D9:D12)</f>
        <v>44</v>
      </c>
      <c r="E13" s="1050">
        <f>SUBTOTAL(9,E9:E12)</f>
        <v>13</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1580</v>
      </c>
      <c r="D16" s="225">
        <f>IF(ISNUMBER(IF(D_I="SI",Datos!I16,Datos!I16+Datos!AC16)),IF(D_I="SI",Datos!I16,Datos!I16+Datos!AC16)," - ")</f>
        <v>1568</v>
      </c>
      <c r="E16" s="226">
        <f>IF(ISNUMBER(IF(D_I="SI",Datos!J16,Datos!J16+Datos!AD16)),IF(D_I="SI",Datos!J16,Datos!J16+Datos!AD16)," - ")</f>
        <v>1314</v>
      </c>
      <c r="F16" s="226">
        <f>IF(ISNUMBER(IF(D_I="SI",Datos!K16,Datos!K16+Datos!AE16)),IF(D_I="SI",Datos!K16,Datos!K16+Datos!AE16)," - ")</f>
        <v>1153</v>
      </c>
      <c r="G16" s="1034" t="str">
        <f>IF(Datos!E16&lt;&gt;"",Datos!E16,Datos!D16)</f>
        <v>04</v>
      </c>
      <c r="H16" s="227">
        <f>IF(ISNUMBER(IF(D_I="SI",Datos!L16,Datos!L16+Datos!AF16)),IF(D_I="SI",Datos!L16,Datos!L16+Datos!AF16)," - ")</f>
        <v>1741</v>
      </c>
      <c r="I16" s="1044" t="str">
        <f>IF(ISNUMBER(Datos!AS16/Datos!BM16),Datos!AS16/Datos!BM16," - ")</f>
        <v xml:space="preserve"> - </v>
      </c>
      <c r="J16" s="1045">
        <f>IF(ISNUMBER(Datos!BY16/Datos!CN16),Datos!BY16/Datos!CN16," - ")</f>
        <v>0</v>
      </c>
      <c r="K16" s="230">
        <f t="shared" si="3"/>
        <v>0.10189873417721519</v>
      </c>
      <c r="L16" s="1025">
        <f>IF(ISNUMBER(NºAsuntos!I16/NºAsuntos!G16),(NºAsuntos!I16/NºAsuntos!G16)*11," - ")</f>
        <v>16.60971379011275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145</v>
      </c>
      <c r="D17" s="225">
        <f>IF(ISNUMBER(IF(D_I="SI",Datos!I17,Datos!I17+Datos!AC17)),IF(D_I="SI",Datos!I17,Datos!I17+Datos!AC17)," - ")</f>
        <v>145</v>
      </c>
      <c r="E17" s="226">
        <f>IF(ISNUMBER(IF(D_I="SI",Datos!J17,Datos!J17+Datos!AD17)),IF(D_I="SI",Datos!J17,Datos!J17+Datos!AD17)," - ")</f>
        <v>73</v>
      </c>
      <c r="F17" s="226">
        <f>IF(ISNUMBER(IF(D_I="SI",Datos!K17,Datos!K17+Datos!AE17)),IF(D_I="SI",Datos!K17,Datos!K17+Datos!AE17)," - ")</f>
        <v>54</v>
      </c>
      <c r="G17" s="1034" t="str">
        <f>IF(Datos!E17&lt;&gt;"",Datos!E17,Datos!D17)</f>
        <v>37</v>
      </c>
      <c r="H17" s="227">
        <f>IF(ISNUMBER(IF(D_I="SI",Datos!L17,Datos!L17+Datos!AF17)),IF(D_I="SI",Datos!L17,Datos!L17+Datos!AF17)," - ")</f>
        <v>164</v>
      </c>
      <c r="I17" s="1044" t="str">
        <f>IF(ISNUMBER(Datos!AS17/Datos!BM17),Datos!AS17/Datos!BM17," - ")</f>
        <v xml:space="preserve"> - </v>
      </c>
      <c r="J17" s="1045" t="str">
        <f>IF(ISNUMBER((Datos!BY17+Datos!BZ17)/Datos!CN17),(Datos!BY17+Datos!BZ17)/Datos!CN17," - ")</f>
        <v xml:space="preserve"> - </v>
      </c>
      <c r="K17" s="230">
        <f t="shared" si="3"/>
        <v>0.1310344827586207</v>
      </c>
      <c r="L17" s="1025">
        <f>IF(ISNUMBER(NºAsuntos!I17/NºAsuntos!G17),(NºAsuntos!I17/NºAsuntos!G17)*11," - ")</f>
        <v>33.407407407407412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1725</v>
      </c>
      <c r="D18" s="1049">
        <f>SUBTOTAL(9,D15:D17)</f>
        <v>1713</v>
      </c>
      <c r="E18" s="1050">
        <f>SUBTOTAL(9,E15:E17)</f>
        <v>1387</v>
      </c>
      <c r="F18" s="1050">
        <f>SUBTOTAL(9,F15:F17)</f>
        <v>1207</v>
      </c>
      <c r="G18" s="1052" t="str">
        <f ca="1">INDIRECT(CONCATENATE("G",ROW()-1))</f>
        <v>37</v>
      </c>
      <c r="H18" s="1053">
        <f ca="1">SUMIF(G$14:G17,G18,H$14:H17)</f>
        <v>164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1769</v>
      </c>
      <c r="D19" s="1071">
        <f>SUBTOTAL(9,D9:D18)</f>
        <v>1757</v>
      </c>
      <c r="E19" s="1072">
        <f>SUBTOTAL(9,E9:E18)</f>
        <v>1400</v>
      </c>
      <c r="F19" s="1072">
        <f>SUBTOTAL(9,F9:F18)</f>
        <v>1220</v>
      </c>
      <c r="G19" s="1073"/>
      <c r="H19" s="1074">
        <f ca="1">SUMIF(B9:B18,"TOTAL",H9:H18)</f>
        <v>164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u4gefQIJwC+QEi2BqDcS4mlrktteoZ3EVse2EMso4WRcZIzCpI6fMA8+xPHsm8BMJ8Ixjtzl0yPOtM+0ovQPaw==" saltValue="C7a77fjGLS6qcGraGGnUl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8ULRLXHI0XGR6lisaeqRTdgXu/2sA6mDnUQsQ8kIOAGR7VrcHYvC6kARYReSkCYOpQl5M25JxA7/9m7FP+LbQ==" saltValue="ztcHI/uw+wcxNdJZjmud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44</v>
      </c>
      <c r="J10" s="181">
        <v>13</v>
      </c>
      <c r="K10" s="181">
        <v>13</v>
      </c>
      <c r="L10" s="181">
        <v>44</v>
      </c>
      <c r="M10" s="181">
        <v>6</v>
      </c>
      <c r="N10" s="181">
        <v>4</v>
      </c>
      <c r="O10" s="181">
        <v>2</v>
      </c>
      <c r="P10" s="181">
        <v>21</v>
      </c>
      <c r="Q10" s="181">
        <v>6</v>
      </c>
      <c r="R10" s="181">
        <v>93</v>
      </c>
      <c r="S10" s="181">
        <v>33</v>
      </c>
      <c r="T10" s="181">
        <v>12</v>
      </c>
      <c r="U10" s="181">
        <v>11</v>
      </c>
      <c r="V10" s="181">
        <v>34</v>
      </c>
      <c r="W10" s="181">
        <v>5</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33</v>
      </c>
      <c r="AZ10" s="129">
        <f t="shared" si="0"/>
        <v>12</v>
      </c>
      <c r="BA10" s="129">
        <f t="shared" si="0"/>
        <v>11</v>
      </c>
      <c r="BB10" s="129">
        <f t="shared" si="0"/>
        <v>34</v>
      </c>
      <c r="BC10" s="125">
        <f t="shared" si="0"/>
        <v>5</v>
      </c>
      <c r="BD10" s="126">
        <f>IF(ISNUMBER(BA10/AZ10),BA10/AZ10," - ")</f>
        <v>0.91666666666666663</v>
      </c>
      <c r="BE10" s="127">
        <f>IF(ISNUMBER(BB10/BA10),BB10/BA10, " - ")</f>
        <v>3.0909090909090908</v>
      </c>
      <c r="BF10" s="127">
        <f>IF(ISNUMBER(BC10/BA10),BC10/BA10, " - ")</f>
        <v>0.45454545454545453</v>
      </c>
      <c r="BG10" s="196">
        <f>IF(ISNUMBER((AY10+AZ10)/BA10),(AY10+AZ10)/BA10," - ")</f>
        <v>4.0909090909090908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2102</v>
      </c>
      <c r="J12" s="183">
        <v>1662</v>
      </c>
      <c r="K12" s="183">
        <v>996</v>
      </c>
      <c r="L12" s="183">
        <v>2770</v>
      </c>
      <c r="M12" s="183">
        <v>221</v>
      </c>
      <c r="N12" s="183">
        <v>382</v>
      </c>
      <c r="O12" s="181">
        <v>472</v>
      </c>
      <c r="P12" s="183">
        <v>206</v>
      </c>
      <c r="Q12" s="183">
        <v>210</v>
      </c>
      <c r="R12" s="183">
        <v>4765</v>
      </c>
      <c r="S12" s="183">
        <v>2076</v>
      </c>
      <c r="T12" s="183">
        <v>997</v>
      </c>
      <c r="U12" s="183">
        <v>1225</v>
      </c>
      <c r="V12" s="183">
        <v>1848</v>
      </c>
      <c r="W12" s="183">
        <v>194</v>
      </c>
      <c r="X12" s="189">
        <v>485</v>
      </c>
      <c r="Y12" s="191">
        <v>50</v>
      </c>
      <c r="Z12" s="181">
        <v>26</v>
      </c>
      <c r="AA12" s="181">
        <v>24</v>
      </c>
      <c r="AB12" s="181">
        <v>32</v>
      </c>
      <c r="AC12" s="183">
        <v>0</v>
      </c>
      <c r="AD12" s="183">
        <v>0</v>
      </c>
      <c r="AE12" s="183">
        <v>0</v>
      </c>
      <c r="AF12" s="189">
        <v>0</v>
      </c>
      <c r="AG12" s="202">
        <v>34</v>
      </c>
      <c r="AH12" s="183">
        <v>49</v>
      </c>
      <c r="AI12" s="183">
        <v>43</v>
      </c>
      <c r="AJ12" s="203">
        <v>40</v>
      </c>
      <c r="AK12" s="182">
        <v>0</v>
      </c>
      <c r="AL12" s="183">
        <v>0</v>
      </c>
      <c r="AM12" s="183">
        <v>0</v>
      </c>
      <c r="AN12" s="189">
        <v>0</v>
      </c>
      <c r="AO12" s="259">
        <v>5</v>
      </c>
      <c r="AP12" s="155">
        <v>5</v>
      </c>
      <c r="AQ12" s="155">
        <v>5</v>
      </c>
      <c r="AR12" s="154">
        <v>5</v>
      </c>
      <c r="AS12" s="340" t="s">
        <v>801</v>
      </c>
      <c r="AT12" s="203"/>
      <c r="AU12" s="202"/>
      <c r="AV12" s="203"/>
      <c r="AW12" s="202"/>
      <c r="AX12" s="203"/>
      <c r="AY12" s="126">
        <f t="shared" si="1"/>
        <v>2110</v>
      </c>
      <c r="AZ12" s="127">
        <f t="shared" si="1"/>
        <v>1046</v>
      </c>
      <c r="BA12" s="127">
        <f t="shared" si="1"/>
        <v>1268</v>
      </c>
      <c r="BB12" s="127">
        <f t="shared" si="1"/>
        <v>1888</v>
      </c>
      <c r="BC12" s="125">
        <f>IF(ISNUMBER(X12),X12," - ")</f>
        <v>485</v>
      </c>
      <c r="BD12" s="126">
        <f t="shared" si="2"/>
        <v>1.2122370936902485</v>
      </c>
      <c r="BE12" s="127">
        <f t="shared" si="3"/>
        <v>1.4889589905362777</v>
      </c>
      <c r="BF12" s="127">
        <f t="shared" si="4"/>
        <v>0.38249211356466878</v>
      </c>
      <c r="BG12" s="196">
        <f t="shared" si="5"/>
        <v>2.4889589905362777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2146</v>
      </c>
      <c r="J13" s="184">
        <f t="shared" si="6"/>
        <v>1675</v>
      </c>
      <c r="K13" s="184">
        <f t="shared" si="6"/>
        <v>1009</v>
      </c>
      <c r="L13" s="184">
        <f t="shared" si="6"/>
        <v>2814</v>
      </c>
      <c r="M13" s="184">
        <f t="shared" si="6"/>
        <v>227</v>
      </c>
      <c r="N13" s="184">
        <f t="shared" si="6"/>
        <v>386</v>
      </c>
      <c r="O13" s="184">
        <f t="shared" si="6"/>
        <v>474</v>
      </c>
      <c r="P13" s="184">
        <f t="shared" si="6"/>
        <v>227</v>
      </c>
      <c r="Q13" s="184">
        <f t="shared" si="6"/>
        <v>216</v>
      </c>
      <c r="R13" s="184">
        <f t="shared" si="6"/>
        <v>4858</v>
      </c>
      <c r="S13" s="184">
        <f t="shared" si="6"/>
        <v>2109</v>
      </c>
      <c r="T13" s="184">
        <f t="shared" si="6"/>
        <v>1009</v>
      </c>
      <c r="U13" s="184">
        <f t="shared" si="6"/>
        <v>1236</v>
      </c>
      <c r="V13" s="184">
        <f t="shared" si="6"/>
        <v>1882</v>
      </c>
      <c r="W13" s="184">
        <f t="shared" si="6"/>
        <v>199</v>
      </c>
      <c r="X13" s="184">
        <f t="shared" si="6"/>
        <v>491</v>
      </c>
      <c r="Y13" s="184">
        <f t="shared" si="6"/>
        <v>50</v>
      </c>
      <c r="Z13" s="184">
        <f t="shared" si="6"/>
        <v>26</v>
      </c>
      <c r="AA13" s="184">
        <f t="shared" si="6"/>
        <v>24</v>
      </c>
      <c r="AB13" s="184">
        <f t="shared" si="6"/>
        <v>32</v>
      </c>
      <c r="AC13" s="184">
        <f t="shared" si="6"/>
        <v>0</v>
      </c>
      <c r="AD13" s="184">
        <f t="shared" si="6"/>
        <v>0</v>
      </c>
      <c r="AE13" s="184">
        <f t="shared" si="6"/>
        <v>0</v>
      </c>
      <c r="AF13" s="184">
        <f>SUBTOTAL(9,AF9:AF12)</f>
        <v>0</v>
      </c>
      <c r="AG13" s="184">
        <f t="shared" ref="AG13:AT13" si="7">SUBTOTAL(9,AG8:AG12)</f>
        <v>34</v>
      </c>
      <c r="AH13" s="184">
        <f t="shared" si="7"/>
        <v>49</v>
      </c>
      <c r="AI13" s="184">
        <f t="shared" si="7"/>
        <v>43</v>
      </c>
      <c r="AJ13" s="184">
        <f t="shared" si="7"/>
        <v>40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2143</v>
      </c>
      <c r="AZ13" s="184">
        <f>SUBTOTAL(9,AZ8:AZ12)</f>
        <v>1058</v>
      </c>
      <c r="BA13" s="184">
        <f>SUBTOTAL(9,BA8:BA12)</f>
        <v>1279</v>
      </c>
      <c r="BB13" s="184">
        <f>SUBTOTAL(9,BB8:BB12)</f>
        <v>1922</v>
      </c>
      <c r="BC13" s="184">
        <f>SUBTOTAL(9,BC8:BC12)</f>
        <v>490</v>
      </c>
      <c r="BD13" s="205">
        <f>IF(ISNUMBER(BA13/AZ13),BA13/AZ13," - ")</f>
        <v>1.2088846880907373</v>
      </c>
      <c r="BE13" s="206">
        <f>IF(ISNUMBER(BB13/BA13),BB13/BA13, " - ")</f>
        <v>1.5027365129007038</v>
      </c>
      <c r="BF13" s="206">
        <f>IF(ISNUMBER(BC13/BA13),BC13/BA13, " - ")</f>
        <v>0.38311180609851447</v>
      </c>
      <c r="BG13" s="207">
        <f>IF(ISNUMBER((AY13+AZ13)/BA13),(AY13+AZ13)/BA13," - ")</f>
        <v>2.5027365129007038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1568</v>
      </c>
      <c r="J16" s="183">
        <v>1314</v>
      </c>
      <c r="K16" s="183">
        <v>1153</v>
      </c>
      <c r="L16" s="183">
        <v>1741</v>
      </c>
      <c r="M16" s="183">
        <v>150</v>
      </c>
      <c r="N16" s="183">
        <v>775</v>
      </c>
      <c r="O16" s="181">
        <v>0</v>
      </c>
      <c r="P16" s="183">
        <v>30</v>
      </c>
      <c r="Q16" s="183">
        <v>49</v>
      </c>
      <c r="R16" s="183">
        <v>102</v>
      </c>
      <c r="S16" s="183">
        <v>1307</v>
      </c>
      <c r="T16" s="183">
        <v>1162</v>
      </c>
      <c r="U16" s="183">
        <v>1187</v>
      </c>
      <c r="V16" s="183">
        <v>1306</v>
      </c>
      <c r="W16" s="183">
        <v>158</v>
      </c>
      <c r="X16" s="189">
        <v>782</v>
      </c>
      <c r="Y16" s="202">
        <v>0</v>
      </c>
      <c r="Z16" s="183">
        <v>0</v>
      </c>
      <c r="AA16" s="183">
        <v>0</v>
      </c>
      <c r="AB16" s="183">
        <v>0</v>
      </c>
      <c r="AC16" s="183">
        <v>0</v>
      </c>
      <c r="AD16" s="183">
        <v>47</v>
      </c>
      <c r="AE16" s="183">
        <v>47</v>
      </c>
      <c r="AF16" s="189">
        <v>0</v>
      </c>
      <c r="AG16" s="202">
        <v>0</v>
      </c>
      <c r="AH16" s="183">
        <v>0</v>
      </c>
      <c r="AI16" s="183">
        <v>0</v>
      </c>
      <c r="AJ16" s="203">
        <v>0</v>
      </c>
      <c r="AK16" s="182">
        <v>1</v>
      </c>
      <c r="AL16" s="183">
        <v>24</v>
      </c>
      <c r="AM16" s="183">
        <v>23</v>
      </c>
      <c r="AN16" s="189">
        <v>2</v>
      </c>
      <c r="AO16" s="259">
        <v>5</v>
      </c>
      <c r="AP16" s="155">
        <v>5</v>
      </c>
      <c r="AQ16" s="155">
        <v>5</v>
      </c>
      <c r="AR16" s="155">
        <v>5</v>
      </c>
      <c r="AS16" s="340" t="s">
        <v>487</v>
      </c>
      <c r="AT16" s="203"/>
      <c r="AU16" s="202"/>
      <c r="AV16" s="203"/>
      <c r="AW16" s="202"/>
      <c r="AX16" s="203"/>
      <c r="AY16" s="126">
        <f t="shared" si="9"/>
        <v>1307</v>
      </c>
      <c r="AZ16" s="127">
        <f t="shared" si="9"/>
        <v>1162</v>
      </c>
      <c r="BA16" s="127">
        <f t="shared" si="9"/>
        <v>1187</v>
      </c>
      <c r="BB16" s="127">
        <f t="shared" si="9"/>
        <v>1306</v>
      </c>
      <c r="BC16" s="125">
        <f>IF(ISNUMBER(W16),W16," - ")</f>
        <v>158</v>
      </c>
      <c r="BD16" s="126">
        <f t="shared" ref="BD16" si="11">IF(ISNUMBER(BA16/AZ16),BA16/AZ16," - ")</f>
        <v>1.0215146299483648</v>
      </c>
      <c r="BE16" s="127">
        <f t="shared" ref="BE16" si="12">IF(ISNUMBER(BB16/BA16),BB16/BA16, " - ")</f>
        <v>1.1002527379949452</v>
      </c>
      <c r="BF16" s="127">
        <f t="shared" ref="BF16" si="13">IF(ISNUMBER(BC16/BA16),BC16/BA16, " - ")</f>
        <v>0.13310867733782644</v>
      </c>
      <c r="BG16" s="196">
        <f t="shared" si="10"/>
        <v>2.0800336983993262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145</v>
      </c>
      <c r="J17" s="183">
        <v>73</v>
      </c>
      <c r="K17" s="183">
        <v>54</v>
      </c>
      <c r="L17" s="183">
        <v>164</v>
      </c>
      <c r="M17" s="183">
        <v>14</v>
      </c>
      <c r="N17" s="183">
        <v>48</v>
      </c>
      <c r="O17" s="183">
        <v>0</v>
      </c>
      <c r="P17" s="183">
        <v>0</v>
      </c>
      <c r="Q17" s="183">
        <v>0</v>
      </c>
      <c r="R17" s="183">
        <v>2</v>
      </c>
      <c r="S17" s="183">
        <v>93</v>
      </c>
      <c r="T17" s="183">
        <v>83</v>
      </c>
      <c r="U17" s="183">
        <v>81</v>
      </c>
      <c r="V17" s="183">
        <v>95</v>
      </c>
      <c r="W17" s="183">
        <v>10</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93</v>
      </c>
      <c r="AZ17" s="129">
        <f t="shared" si="14"/>
        <v>83</v>
      </c>
      <c r="BA17" s="129">
        <f t="shared" si="14"/>
        <v>81</v>
      </c>
      <c r="BB17" s="129">
        <f t="shared" si="14"/>
        <v>95</v>
      </c>
      <c r="BC17" s="125">
        <f>IF(ISNUMBER(W17),W17," - ")</f>
        <v>10</v>
      </c>
      <c r="BD17" s="126">
        <f>IF(ISNUMBER(BA17/AZ17),BA17/AZ17," - ")</f>
        <v>0.97590361445783136</v>
      </c>
      <c r="BE17" s="127">
        <f>IF(ISNUMBER(BB17/BA17),BB17/BA17, " - ")</f>
        <v>1.1728395061728396</v>
      </c>
      <c r="BF17" s="127">
        <f>IF(ISNUMBER(BC17/BA17),BC17/BA17, " - ")</f>
        <v>0.12345679012345678</v>
      </c>
      <c r="BG17" s="196">
        <f>IF(ISNUMBER((AY17+AZ17)/BA17),(AY17+AZ17)/BA17," - ")</f>
        <v>2.1728395061728394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1713</v>
      </c>
      <c r="J18" s="184">
        <f t="shared" si="15"/>
        <v>1387</v>
      </c>
      <c r="K18" s="184">
        <f t="shared" si="15"/>
        <v>1207</v>
      </c>
      <c r="L18" s="184">
        <f t="shared" si="15"/>
        <v>1905</v>
      </c>
      <c r="M18" s="184">
        <f t="shared" si="15"/>
        <v>164</v>
      </c>
      <c r="N18" s="184">
        <f t="shared" si="15"/>
        <v>823</v>
      </c>
      <c r="O18" s="184">
        <f t="shared" si="15"/>
        <v>0</v>
      </c>
      <c r="P18" s="184">
        <f t="shared" si="15"/>
        <v>30</v>
      </c>
      <c r="Q18" s="184">
        <f t="shared" si="15"/>
        <v>49</v>
      </c>
      <c r="R18" s="184">
        <f t="shared" si="15"/>
        <v>104</v>
      </c>
      <c r="S18" s="184">
        <f t="shared" si="15"/>
        <v>1400</v>
      </c>
      <c r="T18" s="184">
        <f t="shared" si="15"/>
        <v>1245</v>
      </c>
      <c r="U18" s="184">
        <f t="shared" si="15"/>
        <v>1268</v>
      </c>
      <c r="V18" s="184">
        <f t="shared" si="15"/>
        <v>1401</v>
      </c>
      <c r="W18" s="184">
        <f t="shared" si="15"/>
        <v>168</v>
      </c>
      <c r="X18" s="184">
        <f t="shared" si="15"/>
        <v>838</v>
      </c>
      <c r="Y18" s="184">
        <f t="shared" si="15"/>
        <v>0</v>
      </c>
      <c r="Z18" s="184">
        <f t="shared" si="15"/>
        <v>0</v>
      </c>
      <c r="AA18" s="184">
        <f t="shared" si="15"/>
        <v>0</v>
      </c>
      <c r="AB18" s="184">
        <f t="shared" si="15"/>
        <v>0</v>
      </c>
      <c r="AC18" s="184">
        <f t="shared" si="15"/>
        <v>0</v>
      </c>
      <c r="AD18" s="184">
        <f t="shared" si="15"/>
        <v>47</v>
      </c>
      <c r="AE18" s="184">
        <f t="shared" si="15"/>
        <v>47</v>
      </c>
      <c r="AF18" s="184">
        <f t="shared" si="15"/>
        <v>0</v>
      </c>
      <c r="AG18" s="184">
        <f t="shared" si="15"/>
        <v>0</v>
      </c>
      <c r="AH18" s="184">
        <f t="shared" si="15"/>
        <v>0</v>
      </c>
      <c r="AI18" s="184">
        <f t="shared" si="15"/>
        <v>0</v>
      </c>
      <c r="AJ18" s="184">
        <f t="shared" si="15"/>
        <v>0</v>
      </c>
      <c r="AK18" s="184">
        <f t="shared" si="15"/>
        <v>1</v>
      </c>
      <c r="AL18" s="184">
        <f t="shared" si="15"/>
        <v>24</v>
      </c>
      <c r="AM18" s="184">
        <f t="shared" si="15"/>
        <v>23</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1400</v>
      </c>
      <c r="AZ18" s="184">
        <f>SUBTOTAL(9,AZ14:AZ17)</f>
        <v>1245</v>
      </c>
      <c r="BA18" s="184">
        <f>SUBTOTAL(9,BA14:BA17)</f>
        <v>1268</v>
      </c>
      <c r="BB18" s="184">
        <f>SUBTOTAL(9,BB14:BB17)</f>
        <v>1401</v>
      </c>
      <c r="BC18" s="184">
        <f>SUBTOTAL(9,BC14:BC17)</f>
        <v>168</v>
      </c>
      <c r="BD18" s="205">
        <f>IF(ISNUMBER(BA18/AZ18),BA18/AZ18," - ")</f>
        <v>1.0184738955823294</v>
      </c>
      <c r="BE18" s="206">
        <f>IF(ISNUMBER(BB18/BA18),BB18/BA18, " - ")</f>
        <v>1.1048895899053628</v>
      </c>
      <c r="BF18" s="206">
        <f>IF(ISNUMBER(BC18/BA18),BC18/BA18, " - ")</f>
        <v>0.13249211356466878</v>
      </c>
      <c r="BG18" s="207">
        <f>IF(ISNUMBER((AY18+AZ18)/BA18),(AY18+AZ18)/BA18," - ")</f>
        <v>2.0859621451104102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3859</v>
      </c>
      <c r="J19" s="134">
        <f t="shared" si="18"/>
        <v>3062</v>
      </c>
      <c r="K19" s="134">
        <f t="shared" si="18"/>
        <v>2216</v>
      </c>
      <c r="L19" s="134">
        <f t="shared" si="18"/>
        <v>4719</v>
      </c>
      <c r="M19" s="134">
        <f t="shared" si="18"/>
        <v>391</v>
      </c>
      <c r="N19" s="134">
        <f t="shared" si="18"/>
        <v>1209</v>
      </c>
      <c r="O19" s="134">
        <f t="shared" si="18"/>
        <v>474</v>
      </c>
      <c r="P19" s="134">
        <f t="shared" si="18"/>
        <v>257</v>
      </c>
      <c r="Q19" s="134">
        <f t="shared" si="18"/>
        <v>265</v>
      </c>
      <c r="R19" s="134">
        <f t="shared" si="18"/>
        <v>4962</v>
      </c>
      <c r="S19" s="134">
        <f t="shared" si="18"/>
        <v>3509</v>
      </c>
      <c r="T19" s="134">
        <f t="shared" si="18"/>
        <v>2254</v>
      </c>
      <c r="U19" s="134">
        <f t="shared" si="18"/>
        <v>2504</v>
      </c>
      <c r="V19" s="134">
        <f t="shared" si="18"/>
        <v>3283</v>
      </c>
      <c r="W19" s="134">
        <f t="shared" si="18"/>
        <v>367</v>
      </c>
      <c r="X19" s="134">
        <f t="shared" si="18"/>
        <v>1329</v>
      </c>
      <c r="Y19" s="134">
        <f t="shared" si="18"/>
        <v>50</v>
      </c>
      <c r="Z19" s="134">
        <f t="shared" si="18"/>
        <v>26</v>
      </c>
      <c r="AA19" s="134">
        <f t="shared" si="18"/>
        <v>24</v>
      </c>
      <c r="AB19" s="134">
        <f t="shared" si="18"/>
        <v>32</v>
      </c>
      <c r="AC19" s="134">
        <f t="shared" si="18"/>
        <v>0</v>
      </c>
      <c r="AD19" s="134">
        <f t="shared" si="18"/>
        <v>47</v>
      </c>
      <c r="AE19" s="134">
        <f t="shared" si="18"/>
        <v>47</v>
      </c>
      <c r="AF19" s="134">
        <f t="shared" si="18"/>
        <v>0</v>
      </c>
      <c r="AG19" s="134">
        <f t="shared" si="18"/>
        <v>34</v>
      </c>
      <c r="AH19" s="134">
        <f t="shared" si="18"/>
        <v>49</v>
      </c>
      <c r="AI19" s="134">
        <f t="shared" si="18"/>
        <v>43</v>
      </c>
      <c r="AJ19" s="134">
        <f t="shared" si="18"/>
        <v>40</v>
      </c>
      <c r="AK19" s="134">
        <f t="shared" si="18"/>
        <v>1</v>
      </c>
      <c r="AL19" s="134">
        <f t="shared" si="18"/>
        <v>24</v>
      </c>
      <c r="AM19" s="134">
        <f t="shared" si="18"/>
        <v>23</v>
      </c>
      <c r="AN19" s="210">
        <f t="shared" si="18"/>
        <v>2</v>
      </c>
      <c r="AO19" s="211">
        <v>6</v>
      </c>
      <c r="AP19" s="211">
        <v>5</v>
      </c>
      <c r="AQ19" s="211">
        <v>5</v>
      </c>
      <c r="AR19" s="211">
        <v>5</v>
      </c>
      <c r="AS19" s="153">
        <f t="shared" si="18"/>
        <v>0</v>
      </c>
      <c r="AT19" s="153">
        <f t="shared" si="18"/>
        <v>0</v>
      </c>
      <c r="AU19" s="211"/>
      <c r="AV19" s="212"/>
      <c r="AW19" s="211"/>
      <c r="AX19" s="212"/>
      <c r="AY19" s="133">
        <f>SUBTOTAL(9,AY9:AY18)</f>
        <v>3543</v>
      </c>
      <c r="AZ19" s="134">
        <f>SUBTOTAL(9,AZ9:AZ18)</f>
        <v>2303</v>
      </c>
      <c r="BA19" s="134">
        <f>SUBTOTAL(9,BA9:BA18)</f>
        <v>2547</v>
      </c>
      <c r="BB19" s="134">
        <f>SUBTOTAL(9,BB9:BB18)</f>
        <v>3323</v>
      </c>
      <c r="BC19" s="135">
        <f>SUBTOTAL(9,BC9:BC18)</f>
        <v>658</v>
      </c>
      <c r="BD19" s="213">
        <f>IF(ISNUMBER(BA19/AZ19),BA19/AZ19," - ")</f>
        <v>1.105948762483717</v>
      </c>
      <c r="BE19" s="210">
        <f>IF(ISNUMBER(BB19/BA19),BB19/BA19, " - ")</f>
        <v>1.3046721633294072</v>
      </c>
      <c r="BF19" s="210">
        <f>IF(ISNUMBER(BC19/BA19),BC19/BA19, " - ")</f>
        <v>0.25834314880251275</v>
      </c>
      <c r="BG19" s="135">
        <f>IF(ISNUMBER((AY19+AZ19)/BA19),(AY19+AZ19)/BA19," - ")</f>
        <v>2.2952493129171576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05/GWyJVNpls8o6nkB3r1XekkEy1VX3uh+t5IDC/jV4azC9v6z+k85cKtJinCqjHqgg9HqsomX5UBKWRxPvw==" saltValue="pdvMC6WyT32Kv+iMWLPCL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JGw4Sv4khsXH5LVhrg4jh/4tfZJf6lhQmK1uNA09BiYO+9R/lts1kUFgi1fSB+E2ZQAdrKAxYO2N3e4TGO1/g==" saltValue="DOnBtUv4nRYowr9Z1K31o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44</v>
      </c>
      <c r="G10" s="333">
        <f>IF(ISNUMBER(Datos!I10),Datos!I10," - ")</f>
        <v>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6</v>
      </c>
      <c r="AD10" s="334"/>
      <c r="AE10" s="484"/>
      <c r="AF10" s="332">
        <f>IF(ISNUMBER(Datos!L10),Datos!L10,"-")</f>
        <v>44</v>
      </c>
      <c r="AG10" s="334"/>
      <c r="AH10" s="334"/>
      <c r="AI10" s="334"/>
      <c r="AJ10" s="334"/>
      <c r="AK10" s="334"/>
      <c r="AL10" s="479"/>
      <c r="AM10" s="335">
        <f>IF(ISNUMBER(Datos!R10),Datos!R10," - ")</f>
        <v>93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4</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10.153846153846155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0.19230769230769232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206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4765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221</v>
      </c>
      <c r="BD12" s="229">
        <f>IF(ISNUMBER(Datos!N12),Datos!N12," - ")</f>
        <v>382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0.60426540284360186</v>
      </c>
      <c r="BH12" s="260">
        <f>IF(ISNUMBER(((IF(J_V="SI",Datos!L12/Datos!K12,(Datos!L12+Datos!AB12)/(Datos!K12+Datos!AA12)))*11)/factor_trimestre),((IF(J_V="SI",Datos!L12/Datos!K12,(Datos!L12+Datos!AB12)/(Datos!K12+Datos!AA12)))*11)/factor_trimestre," - ")</f>
        <v>8.2411764705882362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-8.3875026210945695E-4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44</v>
      </c>
      <c r="G13" s="898">
        <f t="shared" si="0"/>
        <v>44</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227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216</v>
      </c>
      <c r="AD13" s="899">
        <f t="shared" si="1"/>
        <v>0</v>
      </c>
      <c r="AE13" s="899">
        <f t="shared" si="1"/>
        <v>0</v>
      </c>
      <c r="AF13" s="899">
        <f t="shared" si="1"/>
        <v>44</v>
      </c>
      <c r="AG13" s="899">
        <f t="shared" si="1"/>
        <v>0</v>
      </c>
      <c r="AH13" s="899">
        <f t="shared" si="1"/>
        <v>32</v>
      </c>
      <c r="AI13" s="899">
        <f t="shared" si="1"/>
        <v>0</v>
      </c>
      <c r="AJ13" s="899">
        <f t="shared" si="1"/>
        <v>0</v>
      </c>
      <c r="AK13" s="899">
        <f t="shared" si="1"/>
        <v>0</v>
      </c>
      <c r="AL13" s="899">
        <f t="shared" si="1"/>
        <v>0</v>
      </c>
      <c r="AM13" s="899">
        <f t="shared" si="1"/>
        <v>4858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227</v>
      </c>
      <c r="BD13" s="899">
        <f t="shared" si="1"/>
        <v>386</v>
      </c>
      <c r="BE13" s="899">
        <f t="shared" si="1"/>
        <v>0</v>
      </c>
      <c r="BF13" s="899">
        <f t="shared" si="1"/>
        <v>0</v>
      </c>
      <c r="BG13" s="899">
        <f>IF(ISNUMBER(Datos!K13/Datos!J13),Datos!K13/Datos!J13," - ")</f>
        <v>0.60238805970149256</v>
      </c>
      <c r="BH13" s="903">
        <f>IF(ISNUMBER(((Datos!L13/Datos!K13)*11)/factor_trimestre),((Datos!L13/Datos!K13)*11)/factor_trimestre," - ")</f>
        <v>8.366699702675918</v>
      </c>
      <c r="BI13" s="899">
        <f>IF(ISNUMBER('Resol  Asuntos'!D13/NºAsuntos!G13),'Resol  Asuntos'!D13/NºAsuntos!G13," - ")</f>
        <v>0.2197483059051307</v>
      </c>
      <c r="BJ13" s="899" t="str">
        <f>IF(ISNUMBER(Datos!CI13/Datos!CJ13),Datos!CI13/Datos!CJ13," - ")</f>
        <v xml:space="preserve"> - </v>
      </c>
      <c r="BK13" s="899">
        <f>SUBTOTAL(9,BK8:BK12)</f>
        <v>0</v>
      </c>
      <c r="BL13" s="899">
        <f>IF(ISNUMBER((I13-AB13+L13)/(F13)),(I13-AB13+L13)/(F13)," - ")</f>
        <v>-0.29545454545454547</v>
      </c>
      <c r="BM13" s="904">
        <f>SUBTOTAL(9,BM9:BM12)</f>
        <v>0.19146894204558287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1580</v>
      </c>
      <c r="G16" s="598">
        <f>IF(ISNUMBER(IF(D_I="SI",Datos!I16,Datos!I16+Datos!AC16)),IF(D_I="SI",Datos!I16,Datos!I16+Datos!AC16)," - ")</f>
        <v>1568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1153</v>
      </c>
      <c r="AC16" s="226">
        <f>IF(ISNUMBER(Datos!Q16),Datos!Q16," - ")</f>
        <v>49</v>
      </c>
      <c r="AD16" s="334"/>
      <c r="AE16" s="484"/>
      <c r="AF16" s="596">
        <f>IF(ISNUMBER(IF(D_I="SI",Datos!L16,Datos!L16+Datos!AF16)),IF(D_I="SI",Datos!L16,Datos!L16+Datos!AF16)," - ")</f>
        <v>1741</v>
      </c>
      <c r="AG16" s="334"/>
      <c r="AH16" s="334"/>
      <c r="AI16" s="334"/>
      <c r="AJ16" s="334"/>
      <c r="AK16" s="334"/>
      <c r="AL16" s="479"/>
      <c r="AM16" s="335">
        <f>IF(ISNUMBER(Datos!R16),Datos!R16," - ")</f>
        <v>102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150</v>
      </c>
      <c r="BD16" s="229">
        <f>IF(ISNUMBER(Datos!N16),Datos!N16," - ")</f>
        <v>775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0.87747336377473362</v>
      </c>
      <c r="BH16" s="260">
        <f>IF(ISNUMBER(((IF(D_I="SI",Datos!L16/Datos!K16,(Datos!L16+Datos!AF16)/(Datos!K16+Datos!AE16)))*11)/factor_trimestre),((IF(D_I="SI",Datos!L16/Datos!K16,(Datos!L16+Datos!AF16)/(Datos!K16+Datos!AE16)))*11)/factor_trimestre," - ")</f>
        <v>4.5299219427580226</v>
      </c>
      <c r="BI16" s="243">
        <f>IF(ISNUMBER('Resol  Asuntos'!D16/NºAsuntos!G16),'Resol  Asuntos'!D16/NºAsuntos!G16," - ")</f>
        <v>0.13009540329575023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54</v>
      </c>
      <c r="AC17" s="226">
        <f>IF(ISNUMBER(Datos!Q17),Datos!Q17," - ")</f>
        <v>0</v>
      </c>
      <c r="AD17" s="334"/>
      <c r="AE17" s="484"/>
      <c r="AF17" s="332">
        <f>IF(ISNUMBER(Datos!L17),Datos!L17,"-")</f>
        <v>164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0.73972602739726023</v>
      </c>
      <c r="BH17" s="260">
        <f>IF(ISNUMBER(((IF(D_I="SI",Datos!L17/Datos!K17,(Datos!L17+Datos!AF17)/(Datos!K17+Datos!AE17)))*11)/factor_trimestre),((IF(D_I="SI",Datos!L17/Datos!K17,(Datos!L17+Datos!AF17)/(Datos!K17+Datos!AE17)))*11)/factor_trimestre," - ")</f>
        <v>9.1111111111111125</v>
      </c>
      <c r="BI17" s="243">
        <f>IF(ISNUMBER('Resol  Asuntos'!D17/NºAsuntos!G17),'Resol  Asuntos'!D17/NºAsuntos!G17," - ")</f>
        <v>0.25925925925925924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1580</v>
      </c>
      <c r="G18" s="898">
        <f>SUBTOTAL(9,G15:G17)</f>
        <v>1713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1207</v>
      </c>
      <c r="AC18" s="899">
        <f t="shared" si="4"/>
        <v>49</v>
      </c>
      <c r="AD18" s="899">
        <f t="shared" si="4"/>
        <v>0</v>
      </c>
      <c r="AE18" s="899">
        <f t="shared" si="4"/>
        <v>0</v>
      </c>
      <c r="AF18" s="899">
        <f t="shared" si="4"/>
        <v>1905</v>
      </c>
      <c r="AG18" s="899">
        <f t="shared" si="4"/>
        <v>0</v>
      </c>
      <c r="AH18" s="899">
        <f t="shared" si="4"/>
        <v>0</v>
      </c>
      <c r="AI18" s="899">
        <f t="shared" si="4"/>
        <v>0</v>
      </c>
      <c r="AJ18" s="899">
        <f t="shared" si="4"/>
        <v>0</v>
      </c>
      <c r="AK18" s="899">
        <f t="shared" si="4"/>
        <v>0</v>
      </c>
      <c r="AL18" s="899">
        <f t="shared" si="4"/>
        <v>0</v>
      </c>
      <c r="AM18" s="899">
        <f t="shared" si="4"/>
        <v>104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164</v>
      </c>
      <c r="BD18" s="899">
        <f t="shared" si="4"/>
        <v>823</v>
      </c>
      <c r="BE18" s="899">
        <f t="shared" si="4"/>
        <v>0</v>
      </c>
      <c r="BF18" s="899">
        <f t="shared" si="4"/>
        <v>0</v>
      </c>
      <c r="BG18" s="899">
        <f>IF(ISNUMBER(Datos!K18/Datos!J18),Datos!K18/Datos!J18," - ")</f>
        <v>0.87022350396539294</v>
      </c>
      <c r="BH18" s="903">
        <f>IF(ISNUMBER(((Datos!L18/Datos!K18)*11)/factor_trimestre),((Datos!L18/Datos!K18)*11)/factor_trimestre," - ")</f>
        <v>4.7348798674399344</v>
      </c>
      <c r="BI18" s="899">
        <f>SUBTOTAL(9,BI15:BI17)</f>
        <v>0.3893546625550095</v>
      </c>
      <c r="BJ18" s="899">
        <f>SUBTOTAL(9,BJ15:BJ17)</f>
        <v>0</v>
      </c>
      <c r="BK18" s="899">
        <f>SUBTOTAL(9,BK15:BK17)</f>
        <v>0</v>
      </c>
      <c r="BL18" s="899">
        <f>IF(ISNUMBER((I18-AB18+L18)/(F18)),(I18-AB18+L18)/(F18)," - ")</f>
        <v>-0.76392405063291136</v>
      </c>
      <c r="BM18" s="905">
        <f>IF(ISNUMBER((Datos!P18-Datos!Q18)/(Datos!R18-Datos!P18+Datos!Q18)),(Datos!P18-Datos!Q18)/(Datos!R18-Datos!P18+Datos!Q18)," - ")</f>
        <v>-0.15447154471544716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1624</v>
      </c>
      <c r="G19" s="820">
        <f t="shared" si="6"/>
        <v>1757</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1220</v>
      </c>
      <c r="AC19" s="821">
        <f t="shared" si="7"/>
        <v>265</v>
      </c>
      <c r="AD19" s="821">
        <f t="shared" si="7"/>
        <v>0</v>
      </c>
      <c r="AE19" s="821">
        <f t="shared" si="7"/>
        <v>0</v>
      </c>
      <c r="AF19" s="828">
        <f t="shared" si="7"/>
        <v>1949</v>
      </c>
      <c r="AG19" s="828">
        <f t="shared" si="7"/>
        <v>0</v>
      </c>
      <c r="AH19" s="828">
        <f t="shared" si="7"/>
        <v>32</v>
      </c>
      <c r="AI19" s="828">
        <f t="shared" si="7"/>
        <v>0</v>
      </c>
      <c r="AJ19" s="821">
        <f t="shared" si="7"/>
        <v>0</v>
      </c>
      <c r="AK19" s="828">
        <f t="shared" si="7"/>
        <v>0</v>
      </c>
      <c r="AL19" s="828">
        <f t="shared" si="7"/>
        <v>0</v>
      </c>
      <c r="AM19" s="828">
        <f t="shared" si="7"/>
        <v>4962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391</v>
      </c>
      <c r="BD19" s="820">
        <f t="shared" si="7"/>
        <v>1209</v>
      </c>
      <c r="BE19" s="820">
        <f t="shared" si="7"/>
        <v>0</v>
      </c>
      <c r="BF19" s="830">
        <f t="shared" si="7"/>
        <v>0</v>
      </c>
      <c r="BG19" s="915">
        <f>IF(ISNUMBER(Datos!K19/Datos!J19),Datos!K19/Datos!J19," - ")</f>
        <v>0.72370999346832132</v>
      </c>
      <c r="BH19" s="915">
        <f>IF(ISNUMBER(((Datos!L19/Datos!K19)*11)/factor_trimestre),((Datos!L19/Datos!K19)*11)/factor_trimestre," - ")</f>
        <v>6.3885379061371843</v>
      </c>
      <c r="BI19" s="813">
        <f>IF(ISNUMBER(Datos!J19/Datos!I19),Datos!J19/Datos!I19," - ")</f>
        <v>0.79346981083182166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-0.75123152709359609</v>
      </c>
      <c r="BM19" s="889">
        <f>IF(ISNUMBER((Datos!P19-Datos!Q19+R19)/(Datos!R19-Datos!P19+Datos!Q19-R19)),(Datos!P19-Datos!Q19+R19)/(Datos!R19-Datos!P19+Datos!Q19-R19)," - ")</f>
        <v>-1.6096579476861167E-3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702.8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886.81001347526512</v>
      </c>
      <c r="G21" s="552">
        <f>IF(ISNUMBER(STDEV(G8:G18)),STDEV(G8:G18),"-")</f>
        <v>858.5235582090919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632.21673498888026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98.058485949287757</v>
      </c>
      <c r="BD21" s="551"/>
      <c r="BE21" s="551">
        <f>IF(ISNUMBER(STDEV(BE8:BE18)),STDEV(BE8:BE18),"-")</f>
        <v>0</v>
      </c>
      <c r="BF21" s="556">
        <f>IF(ISNUMBER(STDEV(BF8:BF18)),STDEV(BF8:BF18),"-")</f>
        <v>0</v>
      </c>
      <c r="BG21" s="775">
        <f>IF(ISNUMBER(STDEV(BG8:BG18)),STDEV(BG8:BG18),"-")</f>
        <v>0.16128171389380522</v>
      </c>
      <c r="BH21" s="776">
        <f>IF(ISNUMBER(STDEV(BH8:BH18)),STDEV(BH8:BH18),"-")</f>
        <v>2.3410760400209085</v>
      </c>
      <c r="BI21" s="249">
        <f>IF(ISNUMBER(STDEV(BI8:BI18)),STDEV(BI8:BI18),"-")</f>
        <v>0.10769886789678546</v>
      </c>
      <c r="BJ21" s="230" t="str">
        <f>IF(ISNUMBER(BL21/BM21),BL21/BM21," - ")</f>
        <v xml:space="preserve"> - </v>
      </c>
      <c r="BK21" s="575"/>
      <c r="BL21" s="559">
        <f>IF(ISNUMBER(STDEV(BL8:BL18)),STDEV(BL8:BL18),"-")</f>
        <v>0.33125796389072903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zXsCopKlmDYiqwFzOcO41KWytvEdye3bc//x48JizHYYvJHbhtTGtlVo71WfFs3ZPcfAqftMJ3WWOLqhJskF3g==" saltValue="MkPhFP6DAIFvchcs9GUcA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TORTOSA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44</v>
      </c>
      <c r="G10" s="225">
        <f>IF(ISNUMBER(Datos!I10),Datos!I10," - ")</f>
        <v>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6</v>
      </c>
      <c r="AA10" s="332">
        <f>IF(ISNUMBER(Datos!L10),Datos!L10,"-")</f>
        <v>44</v>
      </c>
      <c r="AB10" s="334"/>
      <c r="AC10" s="334"/>
      <c r="AD10" s="484"/>
      <c r="AE10" s="484">
        <f>IF(ISNUMBER(Datos!R10),Datos!R10," - ")</f>
        <v>93</v>
      </c>
      <c r="AF10" s="229" t="str">
        <f>IF(ISNUMBER(Datos!BV10),Datos!BV10," - ")</f>
        <v xml:space="preserve"> - </v>
      </c>
      <c r="AG10" s="225" t="str">
        <f>IF(ISNUMBER(Datos!DV10),Datos!DV10," - ")</f>
        <v xml:space="preserve"> - </v>
      </c>
      <c r="AH10" s="298"/>
      <c r="AI10" s="227"/>
      <c r="AJ10" s="225">
        <f>IF(ISNUMBER(Datos!M10),Datos!M10," - ")</f>
        <v>6</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10.153846153846155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0.19230769230769232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210</v>
      </c>
      <c r="AA12" s="332" t="str">
        <f>IF(ISNUMBER(IF(J_V="SI",Datos!L12,Datos!L12+Datos!AB12)-IF(Monitorios="SI",Datos!CD12,0)),
                          IF(J_V="SI",Datos!L12,Datos!L12+Datos!AB12)-IF(Monitorios="SI",Datos!CD12,0),
                          " - ")</f>
        <v xml:space="preserve"> - </v>
      </c>
      <c r="AB12" s="334"/>
      <c r="AC12" s="334"/>
      <c r="AD12" s="484"/>
      <c r="AE12" s="484">
        <f>IF(ISNUMBER(Datos!R12),Datos!R12," - ")</f>
        <v>4765</v>
      </c>
      <c r="AF12" s="229" t="str">
        <f>IF(ISNUMBER(Datos!BV12),Datos!BV12," - ")</f>
        <v xml:space="preserve"> - </v>
      </c>
      <c r="AG12" s="225" t="str">
        <f>IF(ISNUMBER(Datos!DV12),Datos!DV12," - ")</f>
        <v xml:space="preserve"> - </v>
      </c>
      <c r="AH12" s="298"/>
      <c r="AI12" s="227"/>
      <c r="AJ12" s="225">
        <f>IF(ISNUMBER(Datos!M12),Datos!M12," - ")</f>
        <v>221</v>
      </c>
      <c r="AK12" s="229">
        <f>IF(ISNUMBER(Datos!N12),Datos!N12," - ")</f>
        <v>382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8.2411764705882362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-8.3875026210945695E-4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44</v>
      </c>
      <c r="G13" s="898">
        <f>SUBTOTAL(9,G8:G12)</f>
        <v>44</v>
      </c>
      <c r="H13" s="908"/>
      <c r="I13" s="898">
        <f t="shared" ref="I13:N13" si="0">SUBTOTAL(9,I8:I12)</f>
        <v>0</v>
      </c>
      <c r="J13" s="867">
        <f t="shared" si="0"/>
        <v>0</v>
      </c>
      <c r="K13" s="908">
        <f t="shared" si="0"/>
        <v>0</v>
      </c>
      <c r="L13" s="908">
        <f t="shared" si="0"/>
        <v>0</v>
      </c>
      <c r="M13" s="908">
        <f t="shared" si="0"/>
        <v>0</v>
      </c>
      <c r="N13" s="908">
        <f t="shared" si="0"/>
        <v>227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216</v>
      </c>
      <c r="AA13" s="900">
        <f t="shared" si="2"/>
        <v>44</v>
      </c>
      <c r="AB13" s="900">
        <f t="shared" si="2"/>
        <v>0</v>
      </c>
      <c r="AC13" s="900">
        <f t="shared" si="2"/>
        <v>0</v>
      </c>
      <c r="AD13" s="900">
        <f t="shared" si="2"/>
        <v>0</v>
      </c>
      <c r="AE13" s="900">
        <f t="shared" si="2"/>
        <v>4858</v>
      </c>
      <c r="AF13" s="908">
        <f t="shared" si="2"/>
        <v>0</v>
      </c>
      <c r="AG13" s="908">
        <f t="shared" si="2"/>
        <v>0</v>
      </c>
      <c r="AH13" s="908">
        <f t="shared" si="2"/>
        <v>0</v>
      </c>
      <c r="AI13" s="908">
        <f t="shared" si="2"/>
        <v>0</v>
      </c>
      <c r="AJ13" s="908">
        <f t="shared" si="2"/>
        <v>227</v>
      </c>
      <c r="AK13" s="908">
        <f t="shared" si="2"/>
        <v>386</v>
      </c>
      <c r="AL13" s="908">
        <f t="shared" si="2"/>
        <v>0</v>
      </c>
      <c r="AM13" s="908">
        <f t="shared" si="2"/>
        <v>0</v>
      </c>
      <c r="AN13" s="908">
        <f t="shared" si="2"/>
        <v>0</v>
      </c>
      <c r="AO13" s="904">
        <f>IF(ISNUMBER(((NºAsuntos!I13/NºAsuntos!G13)*11)/factor_trimestre),((NºAsuntos!I13/NºAsuntos!G13)*11)/factor_trimestre," - ")</f>
        <v>8.2652468538238146</v>
      </c>
      <c r="AP13" s="910" t="str">
        <f>IF(ISNUMBER(Datos!CI13/Datos!CJ13),Datos!CI13/Datos!CJ13," - ")</f>
        <v xml:space="preserve"> - </v>
      </c>
      <c r="AQ13" s="928">
        <f t="shared" ref="AQ13:AV13" si="3">SUBTOTAL(9,AQ9:AQ12)</f>
        <v>0</v>
      </c>
      <c r="AR13" s="928">
        <f t="shared" si="3"/>
        <v>0.19146894204558287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1580</v>
      </c>
      <c r="G16" s="225">
        <f>IF(ISNUMBER(IF(D_I="SI",Datos!I16,Datos!I16+Datos!AC16)),IF(D_I="SI",Datos!I16,Datos!I16+Datos!AC16)," - ")</f>
        <v>1568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1153</v>
      </c>
      <c r="Z16" s="619">
        <f>IF(ISNUMBER(Datos!Q16),Datos!Q16," - ")</f>
        <v>49</v>
      </c>
      <c r="AA16" s="332">
        <f>IF(ISNUMBER(IF(D_I="SI",Datos!L16,Datos!L16+Datos!AF16)),IF(D_I="SI",Datos!L16,Datos!L16+Datos!AF16)," - ")</f>
        <v>1741</v>
      </c>
      <c r="AB16" s="334"/>
      <c r="AC16" s="334"/>
      <c r="AD16" s="484"/>
      <c r="AE16" s="484">
        <f>IF(ISNUMBER(Datos!R16),Datos!R16," - ")</f>
        <v>102</v>
      </c>
      <c r="AF16" s="229" t="str">
        <f>IF(ISNUMBER(Datos!BV16),Datos!BV16," - ")</f>
        <v xml:space="preserve"> - </v>
      </c>
      <c r="AG16" s="225"/>
      <c r="AH16" s="298"/>
      <c r="AI16" s="227"/>
      <c r="AJ16" s="225">
        <f>IF(ISNUMBER(Datos!M16),Datos!M16," - ")</f>
        <v>150</v>
      </c>
      <c r="AK16" s="229">
        <f>IF(ISNUMBER(Datos!N16),Datos!N16," - ")</f>
        <v>775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4.5299219427580226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54</v>
      </c>
      <c r="Z17" s="619">
        <f>IF(ISNUMBER(Datos!Q17),Datos!Q17," - ")</f>
        <v>0</v>
      </c>
      <c r="AA17" s="332">
        <f>IF(ISNUMBER(Datos!L17),Datos!L17,"-")</f>
        <v>164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14</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9.1111111111111125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1580</v>
      </c>
      <c r="G18" s="898">
        <f>SUBTOTAL(9,G15:G17)</f>
        <v>1713</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1207</v>
      </c>
      <c r="Z18" s="932">
        <f t="shared" si="5"/>
        <v>49</v>
      </c>
      <c r="AA18" s="932">
        <f t="shared" si="5"/>
        <v>1905</v>
      </c>
      <c r="AB18" s="932">
        <f t="shared" si="5"/>
        <v>0</v>
      </c>
      <c r="AC18" s="932">
        <f t="shared" si="5"/>
        <v>0</v>
      </c>
      <c r="AD18" s="932">
        <f t="shared" si="5"/>
        <v>0</v>
      </c>
      <c r="AE18" s="932">
        <f t="shared" si="5"/>
        <v>104</v>
      </c>
      <c r="AF18" s="932">
        <f t="shared" si="5"/>
        <v>0</v>
      </c>
      <c r="AG18" s="932">
        <f t="shared" si="5"/>
        <v>0</v>
      </c>
      <c r="AH18" s="932">
        <f t="shared" si="5"/>
        <v>0</v>
      </c>
      <c r="AI18" s="932">
        <f t="shared" si="5"/>
        <v>0</v>
      </c>
      <c r="AJ18" s="932">
        <f t="shared" si="5"/>
        <v>164</v>
      </c>
      <c r="AK18" s="932">
        <f t="shared" si="5"/>
        <v>823</v>
      </c>
      <c r="AL18" s="932">
        <f t="shared" si="5"/>
        <v>0</v>
      </c>
      <c r="AM18" s="932">
        <f t="shared" si="5"/>
        <v>0</v>
      </c>
      <c r="AN18" s="932">
        <f t="shared" si="5"/>
        <v>0</v>
      </c>
      <c r="AO18" s="934">
        <f>IF(ISNUMBER(((NºAsuntos!I18/NºAsuntos!G18)*11)/factor_trimestre),((NºAsuntos!I18/NºAsuntos!G18)*11)/factor_trimestre," - ")</f>
        <v>4.7348798674399344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1624</v>
      </c>
      <c r="G19" s="820">
        <f t="shared" si="7"/>
        <v>1757</v>
      </c>
      <c r="H19" s="821">
        <f t="shared" si="7"/>
        <v>0</v>
      </c>
      <c r="I19" s="820">
        <f t="shared" si="7"/>
        <v>0</v>
      </c>
      <c r="J19" s="822">
        <f t="shared" si="7"/>
        <v>0</v>
      </c>
      <c r="K19" s="820">
        <f t="shared" si="7"/>
        <v>0</v>
      </c>
      <c r="L19" s="823">
        <f t="shared" si="7"/>
        <v>0</v>
      </c>
      <c r="M19" s="820">
        <f t="shared" si="7"/>
        <v>0</v>
      </c>
      <c r="N19" s="821">
        <f t="shared" si="7"/>
        <v>257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1220</v>
      </c>
      <c r="Z19" s="827">
        <f t="shared" si="8"/>
        <v>265</v>
      </c>
      <c r="AA19" s="828">
        <f t="shared" si="8"/>
        <v>1949</v>
      </c>
      <c r="AB19" s="828">
        <f t="shared" si="8"/>
        <v>0</v>
      </c>
      <c r="AC19" s="828">
        <f t="shared" si="8"/>
        <v>0</v>
      </c>
      <c r="AD19" s="829">
        <f t="shared" si="8"/>
        <v>0</v>
      </c>
      <c r="AE19" s="829">
        <f t="shared" si="8"/>
        <v>4962</v>
      </c>
      <c r="AF19" s="830">
        <f t="shared" si="8"/>
        <v>0</v>
      </c>
      <c r="AG19" s="831">
        <f t="shared" si="8"/>
        <v>0</v>
      </c>
      <c r="AH19" s="832">
        <f t="shared" si="8"/>
        <v>0</v>
      </c>
      <c r="AI19" s="830">
        <f t="shared" si="8"/>
        <v>0</v>
      </c>
      <c r="AJ19" s="820">
        <f t="shared" si="8"/>
        <v>391</v>
      </c>
      <c r="AK19" s="820">
        <f t="shared" si="8"/>
        <v>1209</v>
      </c>
      <c r="AL19" s="820">
        <f t="shared" si="8"/>
        <v>0</v>
      </c>
      <c r="AM19" s="833">
        <f t="shared" si="8"/>
        <v>0</v>
      </c>
      <c r="AN19" s="823">
        <f>IF(ISNUMBER(Datos!K19/Datos!J19),Datos!K19/Datos!J19," - ")</f>
        <v>0.72370999346832132</v>
      </c>
      <c r="AO19" s="823">
        <f>IF(ISNUMBER(FIND("06",Criterios!A8,1)),(IF(ISNUMBER(((Datos!R19/Datos!Q19)*11)/factor_trimestre),((Datos!R19/Datos!Q19)*11)/factor_trimestre," - ")),(IF(ISNUMBER(((Datos!L19/Datos!K19)*11)/factor_trimestre),((Datos!L19/Datos!K19)*11)/factor_trimestre," - ")))</f>
        <v>6.3885379061371843</v>
      </c>
      <c r="AP19" s="834" t="str">
        <f>IF(ISNUMBER(Datos!CI19/Datos!CJ19),Datos!CI19/Datos!CJ19," - ")</f>
        <v xml:space="preserve"> - </v>
      </c>
      <c r="AQ19" s="834">
        <f>IF(OR(ISNUMBER(FIND("01",Criterios!A8,1)),ISNUMBER(FIND("02",Criterios!A8,1)),ISNUMBER(FIND("03",Criterios!A8,1)),ISNUMBER(FIND("04",Criterios!A8,1))),(J19-Y19+K19)/(F19-K19),(I19-Y19+K19)/(F19-K19))</f>
        <v>-0.75123152709359609</v>
      </c>
      <c r="AR19" s="834">
        <f>IF(ISNUMBER((Datos!P19-Datos!Q19+O19)/(Datos!R19-Datos!P19+Datos!Q19-O19)),(Datos!P19-Datos!Q19+O19)/(Datos!R19-Datos!P19+Datos!Q19-O19)," - ")</f>
        <v>-1.6096579476861167E-3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702.8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886.81001347526512</v>
      </c>
      <c r="G21" s="552">
        <f>IF(ISNUMBER(STDEV(G8:G18)),STDEV(G8:G18),"-")</f>
        <v>858.5235582090919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98.058485949287757</v>
      </c>
      <c r="AK21" s="252"/>
      <c r="AL21" s="252">
        <f>IF(ISNUMBER(STDEV(AL8:AL18)),STDEV(AL8:AL18),"-")</f>
        <v>0</v>
      </c>
      <c r="AM21" s="254">
        <f>IF(ISNUMBER(STDEV(AM8:AM18)),STDEV(AM8:AM18),"-")</f>
        <v>0</v>
      </c>
      <c r="AN21" s="539">
        <f>IF(ISNUMBER(STDEV(AN8:AN18)),STDEV(AN8:AN18),"-")</f>
        <v>0</v>
      </c>
      <c r="AO21" s="540">
        <f>IF(ISNUMBER(STDEV(AO8:AO18)),STDEV(AO8:AO18),"-")</f>
        <v>2.3341190435678327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g299yy4gb8V8emUDzNz6GQwPLXpil9yfXKsiqQzMg7xbMP4GsjOtr6nLzHl43Eg42PfNockxsB2dpRFDGHi7A==" saltValue="wlRK//77sgWFS1fHqMqZ4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2vR7N49oZAGNtvVvdJoZOwu9O6x/anTKALiDUmiM+S4UgyH+P/anoGFek4efa1qT7S2RSXu4iVNbkJA2mWKhw==" saltValue="F5NC022o3p8FKEuVEwLb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frG3nyknb54E/ZQNuukONgG0MvZ6kLVogxDgnfXXRWPnUFTQXXey6Vtwo8l6LlinbuwMoO3rzDDgyoOdMESyA==" saltValue="kQTCLmcXhrKgOSljvbbX7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TORTOSA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0.2197483059051307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0.15538551725977376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miF9pw39+7oWOY/Z2kMxQZcHOrwr5llZEM6i33wQ2m2racTJaV40PBrmTpt6tgqzhaSy6ifrHtw4E2enuHW1Q==" saltValue="HYDynulhVP38nGjSn9kK0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0d09hUm6zc+micixsCGkqZcV6q++3sLlfVfRfDBlvWLyE2X8c/ABPRkC5ZsspO7I1b53DlrEPSiqrUvqT3aDwg==" saltValue="qIJrrDJDKa/6Xq1YBiSg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TORTOSA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44</v>
      </c>
      <c r="D10" s="404">
        <f>IF(ISNUMBER(C10/Datos!BH10),C10/Datos!BH10," - ")</f>
        <v>44</v>
      </c>
      <c r="E10" s="403">
        <f>IF(ISNUMBER(Datos!J10),Datos!J10," - ")</f>
        <v>13</v>
      </c>
      <c r="F10" s="404">
        <f>IF(ISNUMBER(E10/B10),E10/B10," - ")</f>
        <v>13</v>
      </c>
      <c r="G10" s="403">
        <f>IF(ISNUMBER(Datos!K10),Datos!K10," - ")</f>
        <v>13</v>
      </c>
      <c r="H10" s="404">
        <f>IF(ISNUMBER(G10/B10),G10/B10," - ")</f>
        <v>13</v>
      </c>
      <c r="I10" s="403">
        <f>IF(ISNUMBER(Datos!L10),Datos!L10," - ")</f>
        <v>44</v>
      </c>
      <c r="J10" s="404">
        <f>IF(ISNUMBER(I10/B10),I10/B10," - ")</f>
        <v>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2152</v>
      </c>
      <c r="D12" s="404">
        <f>IF(ISNUMBER(C12/Datos!BH12),C12/Datos!BH12," - ")</f>
        <v>430.4</v>
      </c>
      <c r="E12" s="403">
        <f>IF(ISNUMBER(IF(J_V="SI",Datos!J12,Datos!J12+Datos!Z12)),IF(J_V="SI",Datos!J12,Datos!J12+Datos!Z12)," - ")</f>
        <v>1688</v>
      </c>
      <c r="F12" s="404">
        <f>IF(ISNUMBER(E12/B12),E12/B12," - ")</f>
        <v>337.6</v>
      </c>
      <c r="G12" s="403">
        <f>IF(ISNUMBER(IF(J_V="SI",Datos!K12,Datos!K12+Datos!AA12)),IF(J_V="SI",Datos!K12,Datos!K12+Datos!AA12)," - ")</f>
        <v>1020</v>
      </c>
      <c r="H12" s="404">
        <f>IF(ISNUMBER(G12/B12),G12/B12," - ")</f>
        <v>204</v>
      </c>
      <c r="I12" s="403">
        <f>IF(ISNUMBER(IF(J_V="SI",Datos!L12,Datos!L12+Datos!AB12)),IF(J_V="SI",Datos!L12,Datos!L12+Datos!AB12)," - ")</f>
        <v>2802</v>
      </c>
      <c r="J12" s="404">
        <f>IF(ISNUMBER(I12/B12),I12/B12," - ")</f>
        <v>560.4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2196</v>
      </c>
      <c r="D13" s="850" t="str">
        <f>IF(ISNUMBER(C13/Datos!BI13),C13/Datos!BI13," - ")</f>
        <v xml:space="preserve"> - </v>
      </c>
      <c r="E13" s="849">
        <f>SUBTOTAL(9,E8:E12)</f>
        <v>1701</v>
      </c>
      <c r="F13" s="850">
        <f>IF(ISNUMBER(E13/B13),E13/B13," - ")</f>
        <v>340.2</v>
      </c>
      <c r="G13" s="849">
        <f>SUBTOTAL(9,G8:G12)</f>
        <v>1033</v>
      </c>
      <c r="H13" s="850">
        <f>IF(ISNUMBER(G13/B13),G13/B13," - ")</f>
        <v>206.6</v>
      </c>
      <c r="I13" s="849">
        <f>SUBTOTAL(9,I8:I12)</f>
        <v>2846</v>
      </c>
      <c r="J13" s="850">
        <f>IF(ISNUMBER(I13/B13),I13/B13," - ")</f>
        <v>569.20000000000005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1568</v>
      </c>
      <c r="D16" s="404">
        <f>IF(ISNUMBER(C16/Datos!BH16),C16/Datos!BH16," - ")</f>
        <v>313.60000000000002</v>
      </c>
      <c r="E16" s="403">
        <f>IF(ISNUMBER(IF(D_I="SI",Datos!J16,Datos!J16+Datos!AD16)),IF(D_I="SI",Datos!J16,Datos!J16+Datos!AD16)," - ")</f>
        <v>1314</v>
      </c>
      <c r="F16" s="404">
        <f>IF(ISNUMBER(E16/B16),E16/B16," - ")</f>
        <v>262.8</v>
      </c>
      <c r="G16" s="403">
        <f>IF(ISNUMBER(IF(D_I="SI",Datos!K16,Datos!K16+Datos!AE16)),IF(D_I="SI",Datos!K16,Datos!K16+Datos!AE16)," - ")</f>
        <v>1153</v>
      </c>
      <c r="H16" s="404">
        <f>IF(ISNUMBER(G16/B16),G16/B16," - ")</f>
        <v>230.6</v>
      </c>
      <c r="I16" s="403">
        <f>IF(ISNUMBER(IF(D_I="SI",Datos!L16,Datos!L16+Datos!AF16)),IF(D_I="SI",Datos!L16,Datos!L16+Datos!AF16)," - ")</f>
        <v>1741</v>
      </c>
      <c r="J16" s="404">
        <f>IF(ISNUMBER(I16/B16),I16/B16," - ")</f>
        <v>348.2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145</v>
      </c>
      <c r="D17" s="404">
        <f>IF(ISNUMBER(C17/Datos!BH17),C17/Datos!BH17," - ")</f>
        <v>145</v>
      </c>
      <c r="E17" s="403">
        <f>IF(ISNUMBER(IF(D_I="SI",Datos!J17,Datos!J17+Datos!AD17)),IF(D_I="SI",Datos!J17,Datos!J17+Datos!AD17)," - ")</f>
        <v>73</v>
      </c>
      <c r="F17" s="404">
        <f>IF(ISNUMBER(E17/B17),E17/B17," - ")</f>
        <v>73</v>
      </c>
      <c r="G17" s="403">
        <f>IF(ISNUMBER(IF(D_I="SI",Datos!K17,Datos!K17+Datos!AE17)),IF(D_I="SI",Datos!K17,Datos!K17+Datos!AE17)," - ")</f>
        <v>54</v>
      </c>
      <c r="H17" s="404">
        <f>IF(ISNUMBER(G17/B17),G17/B17," - ")</f>
        <v>54</v>
      </c>
      <c r="I17" s="403">
        <f>IF(ISNUMBER(IF(D_I="SI",Datos!L17,Datos!L17+Datos!AF17)),IF(D_I="SI",Datos!L17,Datos!L17+Datos!AF17)," - ")</f>
        <v>164</v>
      </c>
      <c r="J17" s="404">
        <f>IF(ISNUMBER(I17/B17),I17/B17," - ")</f>
        <v>164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1713</v>
      </c>
      <c r="D18" s="850" t="str">
        <f>IF(ISNUMBER(C18/Datos!BI18),C18/Datos!BI18," - ")</f>
        <v xml:space="preserve"> - </v>
      </c>
      <c r="E18" s="849">
        <f>SUBTOTAL(9,E14:E17)</f>
        <v>1387</v>
      </c>
      <c r="F18" s="850">
        <f>IF(ISNUMBER(E18/B18),E18/B18," - ")</f>
        <v>277.39999999999998</v>
      </c>
      <c r="G18" s="849">
        <f>SUBTOTAL(9,G14:G17)</f>
        <v>1207</v>
      </c>
      <c r="H18" s="850">
        <f>IF(ISNUMBER(G18/B18),G18/B18," - ")</f>
        <v>241.4</v>
      </c>
      <c r="I18" s="849">
        <f>SUBTOTAL(9,I14:I17)</f>
        <v>1905</v>
      </c>
      <c r="J18" s="850">
        <f>IF(ISNUMBER(I18/B18),I18/B18," - ")</f>
        <v>381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3909</v>
      </c>
      <c r="D19" s="795" t="str">
        <f>IF(ISNUMBER(C19/Datos!BI19),C19/Datos!BI19," - ")</f>
        <v xml:space="preserve"> - </v>
      </c>
      <c r="E19" s="794">
        <f>SUBTOTAL(9,E9:E18)</f>
        <v>3088</v>
      </c>
      <c r="F19" s="795">
        <f>IF(ISNUMBER(E19/B19),E19/B19," - ")</f>
        <v>617.6</v>
      </c>
      <c r="G19" s="794">
        <f>SUBTOTAL(9,G9:G18)</f>
        <v>2240</v>
      </c>
      <c r="H19" s="795">
        <f>IF(ISNUMBER(G19/B19),G19/B19," - ")</f>
        <v>448</v>
      </c>
      <c r="I19" s="794">
        <f>SUBTOTAL(9,I9:I18)</f>
        <v>4751</v>
      </c>
      <c r="J19" s="795">
        <f>IF(ISNUMBER(I19/B19),I19/B19," - ")</f>
        <v>950.2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ooREBL/wY23WDQV6FI4TVzm0wF1iQ60MtFTubcbENiVogyWi/l6OUp7+rK8FdL1HU8IDSy/giPHpCTiORAzPw==" saltValue="ji6bulDbRrqf2w26fyif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TORTOSA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44</v>
      </c>
      <c r="G10" s="684">
        <f>IF(ISNUMBER(Datos!I10),Datos!I10," - ")</f>
        <v>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10.153846153846155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221</v>
      </c>
      <c r="AM12" s="690">
        <f>IF(ISNUMBER(Datos!N12+DatosP!N16),Datos!N12+DatosP!N16," - ")</f>
        <v>382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8.2411764705882362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-8.3875026210945695E-4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44</v>
      </c>
      <c r="G13" s="938">
        <f t="shared" si="0"/>
        <v>44</v>
      </c>
      <c r="H13" s="938">
        <f t="shared" si="0"/>
        <v>0</v>
      </c>
      <c r="I13" s="940">
        <f t="shared" si="0"/>
        <v>0</v>
      </c>
      <c r="J13" s="939">
        <f t="shared" si="0"/>
        <v>0</v>
      </c>
      <c r="K13" s="939">
        <f t="shared" si="0"/>
        <v>0</v>
      </c>
      <c r="L13" s="941">
        <f t="shared" si="0"/>
        <v>0</v>
      </c>
      <c r="M13" s="941">
        <f t="shared" si="0"/>
        <v>0</v>
      </c>
      <c r="N13" s="939">
        <f t="shared" si="0"/>
        <v>227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210</v>
      </c>
      <c r="AE13" s="939">
        <f t="shared" si="1"/>
        <v>0</v>
      </c>
      <c r="AF13" s="939">
        <f t="shared" si="1"/>
        <v>44</v>
      </c>
      <c r="AG13" s="939">
        <f t="shared" si="1"/>
        <v>0</v>
      </c>
      <c r="AH13" s="939">
        <f t="shared" si="1"/>
        <v>4765</v>
      </c>
      <c r="AI13" s="939">
        <f t="shared" si="1"/>
        <v>0</v>
      </c>
      <c r="AJ13" s="939">
        <f t="shared" si="1"/>
        <v>0</v>
      </c>
      <c r="AK13" s="939">
        <f t="shared" si="1"/>
        <v>0</v>
      </c>
      <c r="AL13" s="939">
        <f t="shared" si="1"/>
        <v>227</v>
      </c>
      <c r="AM13" s="939">
        <f t="shared" si="1"/>
        <v>386</v>
      </c>
      <c r="AN13" s="939">
        <f t="shared" si="1"/>
        <v>0</v>
      </c>
      <c r="AO13" s="939">
        <f t="shared" si="1"/>
        <v>0</v>
      </c>
      <c r="AP13" s="944">
        <f>IF(ISNUMBER(((Datos!L13/Datos!K13)*11)/factor_trimestre),((Datos!L13/Datos!K13)*11)/factor_trimestre," - ")</f>
        <v>8.366699702675918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-0.29545454545454547</v>
      </c>
      <c r="AU13" s="939" t="str">
        <f>IF(ISNUMBER((DatosP!#REF!-DatosP!#REF!+DatosP!#REF!)/(DatosP!#REF!+DatosP!#REF!-DatosP!#REF!-DatosP!#REF!)),(DatosP!#REF!-DatosP!#REF!+DatosP!#REF!)/(DatosP!#REF!+DatosP!#REF!-DatosP!#REF!-DatosP!#REF!)," - ")</f>
        <v xml:space="preserve"> - </v>
      </c>
      <c r="AV13" s="945">
        <f>SUBTOTAL(9,AV9:AV12)</f>
        <v>-8.3875026210945695E-4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4.7348798674399344</v>
      </c>
      <c r="AQ18" s="944">
        <f>IF(ISNUMBER(((Datos!M18/Datos!L18)*11)/factor_trimestre),((Datos!M18/Datos!L18)*11)/factor_trimestre," - ")</f>
        <v>0.25826771653543307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-0.15447154471544716</v>
      </c>
      <c r="AW18" s="946">
        <f>IF(ISNUMBER((Datos!Q18-Datos!R18)/(Datos!S18-Datos!Q18+Datos!R18)),(Datos!Q18-Datos!R18)/(Datos!S18-Datos!Q18+Datos!R18)," - ")</f>
        <v>-3.7800687285223365E-2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44</v>
      </c>
      <c r="G19" s="951">
        <f t="shared" si="4"/>
        <v>44</v>
      </c>
      <c r="H19" s="951">
        <f t="shared" si="4"/>
        <v>0</v>
      </c>
      <c r="I19" s="952">
        <f t="shared" si="4"/>
        <v>0</v>
      </c>
      <c r="J19" s="953">
        <f t="shared" si="4"/>
        <v>0</v>
      </c>
      <c r="K19" s="953">
        <f t="shared" si="4"/>
        <v>0</v>
      </c>
      <c r="L19" s="953">
        <f t="shared" si="4"/>
        <v>0</v>
      </c>
      <c r="M19" s="953">
        <f t="shared" si="4"/>
        <v>0</v>
      </c>
      <c r="N19" s="952">
        <f t="shared" si="4"/>
        <v>227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210</v>
      </c>
      <c r="AE19" s="957">
        <f t="shared" si="5"/>
        <v>0</v>
      </c>
      <c r="AF19" s="958">
        <f t="shared" si="5"/>
        <v>44</v>
      </c>
      <c r="AG19" s="958">
        <f t="shared" si="5"/>
        <v>0</v>
      </c>
      <c r="AH19" s="958">
        <f t="shared" si="5"/>
        <v>4765</v>
      </c>
      <c r="AI19" s="958">
        <f t="shared" si="5"/>
        <v>0</v>
      </c>
      <c r="AJ19" s="959">
        <f t="shared" si="5"/>
        <v>0</v>
      </c>
      <c r="AK19" s="959">
        <f t="shared" si="5"/>
        <v>0</v>
      </c>
      <c r="AL19" s="951">
        <f t="shared" si="5"/>
        <v>227</v>
      </c>
      <c r="AM19" s="951">
        <f t="shared" si="5"/>
        <v>386</v>
      </c>
      <c r="AN19" s="951">
        <f t="shared" si="5"/>
        <v>0</v>
      </c>
      <c r="AO19" s="951">
        <f t="shared" si="5"/>
        <v>0</v>
      </c>
      <c r="AP19" s="951">
        <f>IF(ISNUMBER(((Datos!L19/Datos!K19)*11)/factor_trimestre),((Datos!L19/Datos!K19)*11)/factor_trimestre," - ")</f>
        <v>6.3885379061371843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-0.29545454545454547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-1.6096579476861167E-3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25.40341184434353</v>
      </c>
      <c r="G21" s="737">
        <f>IF(ISNUMBER(STDEV(G8:G18)),STDEV(G8:G18),"-")</f>
        <v>25.40341184434353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127.64142483274516</v>
      </c>
      <c r="AM21" s="736"/>
      <c r="AN21" s="736">
        <f>IF(ISNUMBER(STDEV(AN8:AN18)),STDEV(AN8:AN18),"-")</f>
        <v>0</v>
      </c>
      <c r="AO21" s="742">
        <f>IF(ISNUMBER(STDEV(AO8:AO18)),STDEV(AO8:AO18),"-")</f>
        <v>0</v>
      </c>
      <c r="AP21" s="779">
        <f>IF(ISNUMBER(STDEV(AP8:AP18)),STDEV(AP8:AP18),"-")</f>
        <v>2.267843701166524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81pypN+33vgFoM/DYdfz3yDobbrGB6CeSdNl4lpuKR2b/XMD/7bh3JQ7S61yI6t6zJ3O5jReqf8L0lf1GxFfw==" saltValue="LpRIucOsKwv4b/5qIDeQE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TORTOSA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hqrsd1ZvMdIol7wJNupvp+YS0YhBCpOPYJT9dWD6LUqXeNuthslVBvZEcQjLPZKR/lNXAJR+/10EeyY94CPhg==" saltValue="B4oVgg/nGCmxu4Qs8bmF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TORTOSA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221</v>
      </c>
      <c r="E12" s="404">
        <f t="shared" si="0"/>
        <v>44.2</v>
      </c>
      <c r="F12" s="403">
        <f>IF(ISNUMBER(Datos!N12),Datos!N12," - ")</f>
        <v>382</v>
      </c>
      <c r="G12" s="404">
        <f t="shared" si="1"/>
        <v>76.400000000000006</v>
      </c>
      <c r="H12" s="403">
        <f>IF(ISNUMBER(Datos!O12),Datos!O12," - ")</f>
        <v>472</v>
      </c>
      <c r="I12" s="404">
        <f t="shared" si="2"/>
        <v>94.4</v>
      </c>
      <c r="BZ12" s="1186">
        <f>Datos!EZ12</f>
        <v>0</v>
      </c>
    </row>
    <row r="13" spans="1:78" ht="14.25" thickTop="1" thickBot="1">
      <c r="A13" s="848" t="str">
        <f>Datos!A13</f>
        <v>TOTAL</v>
      </c>
      <c r="B13" s="849">
        <f>Datos!AP13</f>
        <v>5</v>
      </c>
      <c r="C13" s="851">
        <f>Datos!AR13</f>
        <v>5</v>
      </c>
      <c r="D13" s="849">
        <f>SUBTOTAL(9,D9:D12)</f>
        <v>227</v>
      </c>
      <c r="E13" s="850">
        <f t="shared" si="0"/>
        <v>45.4</v>
      </c>
      <c r="F13" s="849">
        <f>SUBTOTAL(9,F9:F12)</f>
        <v>386</v>
      </c>
      <c r="G13" s="850">
        <f t="shared" si="1"/>
        <v>77.2</v>
      </c>
      <c r="H13" s="849">
        <f>SUBTOTAL(9,H9:H12)</f>
        <v>474</v>
      </c>
      <c r="I13" s="850">
        <f>IF(ISNUMBER(H13/B13),H13/B13," - ")</f>
        <v>94.8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150</v>
      </c>
      <c r="E16" s="404">
        <f t="shared" si="3"/>
        <v>30</v>
      </c>
      <c r="F16" s="403">
        <f>IF(ISNUMBER(Datos!N16),Datos!N16," - ")</f>
        <v>775</v>
      </c>
      <c r="G16" s="404">
        <f t="shared" si="4"/>
        <v>155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48</v>
      </c>
      <c r="G17" s="404">
        <f>IF(ISNUMBER(F17/B17),F17/B17," - ")</f>
        <v>48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164</v>
      </c>
      <c r="E18" s="850">
        <f t="shared" si="3"/>
        <v>32.799999999999997</v>
      </c>
      <c r="F18" s="849">
        <f>SUBTOTAL(9,F15:F17)</f>
        <v>823</v>
      </c>
      <c r="G18" s="850">
        <f t="shared" si="4"/>
        <v>164.6</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391</v>
      </c>
      <c r="E19" s="795">
        <f>IF(ISNUMBER(D19/B19),D19/B19," - ")</f>
        <v>78.2</v>
      </c>
      <c r="F19" s="794">
        <f>SUBTOTAL(9,F8:F18)</f>
        <v>1209</v>
      </c>
      <c r="G19" s="795">
        <f>IF(ISNUMBER(F19/B19),F19/B19," - ")</f>
        <v>241.8</v>
      </c>
      <c r="H19" s="794">
        <f>SUBTOTAL(9,H8:H18)</f>
        <v>474</v>
      </c>
      <c r="I19" s="795">
        <f>IF(ISNUMBER(H19/B19),H19/B19," - ")</f>
        <v>94.8</v>
      </c>
    </row>
    <row r="22" spans="1:78">
      <c r="A22" s="391" t="str">
        <f>Criterios!A4</f>
        <v>Fecha Informe: 03 jun. 2025</v>
      </c>
    </row>
    <row r="27" spans="1:78">
      <c r="A27" s="414"/>
    </row>
  </sheetData>
  <sheetProtection algorithmName="SHA-512" hashValue="S24BmbwJ35PK8tZOfPx2jaSf8h9ocE1mpyUvQouCKxfGO/pEpxrtBdo7So5O2fU9bp4KeUSkl53+DrwDeRR3lA==" saltValue="jFDduIpaJgVCu/h7Gh2Q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TORTOSA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21</v>
      </c>
      <c r="C10" s="434">
        <f>IF(ISNUMBER(Datos!Q10),Datos!Q10," - ")</f>
        <v>6</v>
      </c>
      <c r="D10" s="408">
        <f>IF(ISNUMBER(Datos!R10),Datos!R10," - ")</f>
        <v>93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206</v>
      </c>
      <c r="C12" s="434">
        <f>IF(ISNUMBER(Datos!Q12),Datos!Q12," - ")</f>
        <v>210</v>
      </c>
      <c r="D12" s="408">
        <f>IF(ISNUMBER(Datos!R12),Datos!R12," - ")</f>
        <v>4765</v>
      </c>
    </row>
    <row r="13" spans="1:4" ht="14.25" thickTop="1" thickBot="1">
      <c r="A13" s="848" t="str">
        <f>Datos!A13</f>
        <v>TOTAL</v>
      </c>
      <c r="B13" s="849">
        <f>SUBTOTAL(9,B9:B12)</f>
        <v>227</v>
      </c>
      <c r="C13" s="853">
        <f>SUBTOTAL(9,C9:C12)</f>
        <v>216</v>
      </c>
      <c r="D13" s="851">
        <f>SUBTOTAL(9,D9:D12)</f>
        <v>4858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49</v>
      </c>
      <c r="D16" s="408">
        <f>IF(ISNUMBER(Datos!R16),Datos!R16," - ")</f>
        <v>102</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30</v>
      </c>
      <c r="C18" s="853">
        <f>SUBTOTAL(9,C15:C17)</f>
        <v>49</v>
      </c>
      <c r="D18" s="851">
        <f>SUBTOTAL(9,D15:D17)</f>
        <v>104</v>
      </c>
    </row>
    <row r="19" spans="1:4" ht="16.5" customHeight="1" thickTop="1" thickBot="1">
      <c r="A19" s="793" t="str">
        <f>Datos!A19</f>
        <v>TOTAL JURISDICCIONES</v>
      </c>
      <c r="B19" s="798">
        <f>SUBTOTAL(9,B8:B18)</f>
        <v>257</v>
      </c>
      <c r="C19" s="799">
        <f>SUBTOTAL(9,C8:C18)</f>
        <v>265</v>
      </c>
      <c r="D19" s="800">
        <f>SUBTOTAL(9,D8:D18)</f>
        <v>4962</v>
      </c>
    </row>
    <row r="20" spans="1:4" ht="7.5" customHeight="1"/>
    <row r="21" spans="1:4" ht="6" customHeight="1"/>
    <row r="22" spans="1:4">
      <c r="A22" s="391" t="str">
        <f>Criterios!A4</f>
        <v>Fecha Informe: 03 jun. 2025</v>
      </c>
    </row>
    <row r="27" spans="1:4">
      <c r="A27" s="414"/>
    </row>
  </sheetData>
  <sheetProtection algorithmName="SHA-512" hashValue="QG442zrU/mBaXfenYFwx99sNW2e8jYmOEH4j3oCDoXos5i2Ho2nOtbJ1mMBhGR7M8Q6nWfhRpthgAPmEMpn3BA==" saltValue="0bhGuDy2EzIJGkzX6wZ9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TORTOSA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8.3333333333333329E-2</v>
      </c>
      <c r="D10" s="456">
        <f>IF(ISNUMBER((Datos!K10-Datos!U10)/Datos!U10),(Datos!K10-Datos!U10)/Datos!U10," - ")</f>
        <v>0.18181818181818182</v>
      </c>
      <c r="E10" s="456">
        <f>IF(ISNUMBER((Datos!L10-Datos!V10)/Datos!V10),(Datos!L10-Datos!V10)/Datos!V10," - ")</f>
        <v>0.29411764705882354</v>
      </c>
      <c r="F10" s="456">
        <f>IF(ISNUMBER((Datos!M10-Datos!W10)/Datos!W10),(Datos!M10-Datos!W10)/Datos!W10," - ")</f>
        <v>0.2</v>
      </c>
      <c r="G10" s="457">
        <f>IF(ISNUMBER((Datos!N10-Datos!X10)/Datos!X10),(Datos!N10-Datos!X10)/Datos!X10," - ")</f>
        <v>-0.33333333333333331</v>
      </c>
      <c r="H10" s="455">
        <f>IF(ISNUMBER(((NºAsuntos!G10/NºAsuntos!E10)-Datos!BD10)/Datos!BD10),((NºAsuntos!G10/NºAsuntos!E10)-Datos!BD10)/Datos!BD10," - ")</f>
        <v>9.0909090909090953E-2</v>
      </c>
      <c r="I10" s="456">
        <f>IF(ISNUMBER(((NºAsuntos!I10/NºAsuntos!G10)-Datos!BE10)/Datos!BE10),((NºAsuntos!I10/NºAsuntos!G10)-Datos!BE10)/Datos!BE10," - ")</f>
        <v>9.5022624434389164E-2</v>
      </c>
      <c r="J10" s="461">
        <f>IF(ISNUMBER((('Resol  Asuntos'!D10/NºAsuntos!G10)-Datos!BF10)/Datos!BF10),(('Resol  Asuntos'!D10/NºAsuntos!G10)-Datos!BF10)/Datos!BF10," - ")</f>
        <v>1.5384615384615474E-2</v>
      </c>
      <c r="K10" s="462">
        <f>IF(ISNUMBER((((NºAsuntos!C10+NºAsuntos!E10)/NºAsuntos!G10)-Datos!BG10)/Datos!BG10),(((NºAsuntos!C10+NºAsuntos!E10)/NºAsuntos!G10)-Datos!BG10)/Datos!BG10," - ")</f>
        <v>7.1794871794871915E-2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1.9905213270142181E-2</v>
      </c>
      <c r="C12" s="456">
        <f>IF(ISNUMBER(
   IF(J_V="SI",(Datos!J12-Datos!T12)/Datos!T12,(Datos!J12+Datos!Z12-(Datos!T12+Datos!AH12))/(Datos!T12+Datos!AH12))
     ),IF(J_V="SI",(Datos!J12-Datos!T12)/Datos!T12,(Datos!J12+Datos!Z12-(Datos!T12+Datos!AH12))/(Datos!T12+Datos!AH12))," - ")</f>
        <v>0.61376673040152963</v>
      </c>
      <c r="D12" s="456">
        <f>IF(ISNUMBER(
   IF(J_V="SI",(Datos!K12-Datos!U12)/Datos!U12,(Datos!K12+Datos!AA12-(Datos!U12+Datos!AI12))/(Datos!U12+Datos!AI12))
     ),IF(J_V="SI",(Datos!K12-Datos!U12)/Datos!U12,(Datos!K12+Datos!AA12-(Datos!U12+Datos!AI12))/(Datos!U12+Datos!AI12))," - ")</f>
        <v>-0.19558359621451105</v>
      </c>
      <c r="E12" s="456">
        <f>IF(ISNUMBER(
   IF(J_V="SI",(Datos!L12-Datos!V12)/Datos!V12,(Datos!L12+Datos!AB12-(Datos!V12+Datos!AJ12))/(Datos!V12+Datos!AJ12))
     ),IF(J_V="SI",(Datos!L12-Datos!V12)/Datos!V12,(Datos!L12+Datos!AB12-(Datos!V12+Datos!AJ12))/(Datos!V12+Datos!AJ12))," - ")</f>
        <v>0.48411016949152541</v>
      </c>
      <c r="F12" s="456">
        <f>IF(ISNUMBER((Datos!M12-Datos!W12)/Datos!W12),(Datos!M12-Datos!W12)/Datos!W12," - ")</f>
        <v>0.13917525773195877</v>
      </c>
      <c r="G12" s="457">
        <f>IF(ISNUMBER((Datos!N12-Datos!X12)/Datos!X12),(Datos!N12-Datos!X12)/Datos!X12," - ")</f>
        <v>-0.21237113402061855</v>
      </c>
      <c r="H12" s="455">
        <f>IF(ISNUMBER(((NºAsuntos!G12/NºAsuntos!E12)-Datos!BD12)/Datos!BD12),((NºAsuntos!G12/NºAsuntos!E12)-Datos!BD12)/Datos!BD12," - ")</f>
        <v>-0.50152869765425268</v>
      </c>
      <c r="I12" s="456">
        <f>IF(ISNUMBER(((NºAsuntos!I12/NºAsuntos!G12)-Datos!BE12)/Datos!BE12),((NºAsuntos!I12/NºAsuntos!G12)-Datos!BE12)/Datos!BE12," - ")</f>
        <v>0.84495264207377863</v>
      </c>
      <c r="J12" s="461">
        <f>IF(ISNUMBER((('Resol  Asuntos'!D12/NºAsuntos!G12)-Datos!BF12)/Datos!BF12),(('Resol  Asuntos'!D12/NºAsuntos!G12)-Datos!BF12)/Datos!BF12," - ")</f>
        <v>-0.43353951890034365</v>
      </c>
      <c r="K12" s="462">
        <f>IF(ISNUMBER((((NºAsuntos!C12+NºAsuntos!E12)/NºAsuntos!G12)-Datos!BG12)/Datos!BG12),(((NºAsuntos!C12+NºAsuntos!E12)/NºAsuntos!G12)-Datos!BG12)/Datos!BG12," - ")</f>
        <v>0.51256243942443891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2.4731684554363042E-2</v>
      </c>
      <c r="C13" s="855">
        <f>IF(ISNUMBER(
   IF(J_V="SI",(Datos!J13-Datos!T13)/Datos!T13,(Datos!J13+Datos!Z13-(Datos!T13+Datos!AH13))/(Datos!T13+Datos!AH13))
     ),IF(J_V="SI",(Datos!J13-Datos!T13)/Datos!T13,(Datos!J13+Datos!Z13-(Datos!T13+Datos!AH13))/(Datos!T13+Datos!AH13))," - ")</f>
        <v>0.60775047258979209</v>
      </c>
      <c r="D13" s="855">
        <f>IF(ISNUMBER(
   IF(J_V="SI",(Datos!K13-Datos!U13)/Datos!U13,(Datos!K13+Datos!AA13-(Datos!U13+Datos!AI13))/(Datos!U13+Datos!AI13))
     ),IF(J_V="SI",(Datos!K13-Datos!U13)/Datos!U13,(Datos!K13+Datos!AA13-(Datos!U13+Datos!AI13))/(Datos!U13+Datos!AI13))," - ")</f>
        <v>-0.1923377638780297</v>
      </c>
      <c r="E13" s="855">
        <f>IF(ISNUMBER(
   IF(J_V="SI",(Datos!L13-Datos!V13)/Datos!V13,(Datos!L13+Datos!AB13-(Datos!V13+Datos!AJ13))/(Datos!V13+Datos!AJ13))
     ),IF(J_V="SI",(Datos!L13-Datos!V13)/Datos!V13,(Datos!L13+Datos!AB13-(Datos!V13+Datos!AJ13))/(Datos!V13+Datos!AJ13))," - ")</f>
        <v>0.48074921956295524</v>
      </c>
      <c r="F13" s="856">
        <f>IF(ISNUMBER((Datos!M13-Datos!W13)/Datos!W13),(Datos!M13-Datos!W13)/Datos!W13," - ")</f>
        <v>0.1407035175879397</v>
      </c>
      <c r="G13" s="857">
        <f>IF(ISNUMBER((Datos!N13-Datos!X13)/Datos!X13),(Datos!N13-Datos!X13)/Datos!X13," - ")</f>
        <v>-0.21384928716904278</v>
      </c>
      <c r="H13" s="857">
        <f>IF(ISNUMBER(((NºAsuntos!G13/NºAsuntos!E13)-Datos!BD13)/Datos!BD13),((NºAsuntos!G13/NºAsuntos!E13)-Datos!BD13)/Datos!BD13," - ")</f>
        <v>-0.49764453508698153</v>
      </c>
      <c r="I13" s="857">
        <f>IF(ISNUMBER(((NºAsuntos!I13/NºAsuntos!G13)-Datos!BE13)/Datos!BE13),((NºAsuntos!I13/NºAsuntos!G13)-Datos!BE13)/Datos!BE13," - ")</f>
        <v>0.83337681686449139</v>
      </c>
      <c r="J13" s="857">
        <f>IF(ISNUMBER((('Resol  Asuntos'!D13/NºAsuntos!G13)-Datos!BF13)/Datos!BF13),(('Resol  Asuntos'!D13/NºAsuntos!G13)-Datos!BF13)/Datos!BF13," - ")</f>
        <v>-0.42641207499456701</v>
      </c>
      <c r="K13" s="857">
        <f>IF(ISNUMBER((((NºAsuntos!C13+NºAsuntos!E13)/NºAsuntos!G13)-Datos!BG13)/Datos!BG13),(((NºAsuntos!C13+NºAsuntos!E13)/NºAsuntos!G13)-Datos!BG13)/Datos!BG13," - ")</f>
        <v>0.50735294784755358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0.19969395562356543</v>
      </c>
      <c r="C16" s="456">
        <f>IF(ISNUMBER(
   IF(D_I="SI",(Datos!J16-Datos!T16)/Datos!T16,(Datos!J16+Datos!AD16-(Datos!T16+Datos!AL16))/(Datos!T16+Datos!AL16))
     ),IF(D_I="SI",(Datos!J16-Datos!T16)/Datos!T16,(Datos!J16+Datos!AD16-(Datos!T16+Datos!AL16))/(Datos!T16+Datos!AL16))," - ")</f>
        <v>0.13080895008605853</v>
      </c>
      <c r="D16" s="456">
        <f>IF(ISNUMBER(
   IF(D_I="SI",(Datos!K16-Datos!U16)/Datos!U16,(Datos!K16+Datos!AE16-(Datos!U16+Datos!AM16))/(Datos!U16+Datos!AM16))
     ),IF(D_I="SI",(Datos!K16-Datos!U16)/Datos!U16,(Datos!K16+Datos!AE16-(Datos!U16+Datos!AM16))/(Datos!U16+Datos!AM16))," - ")</f>
        <v>-2.8643639427127211E-2</v>
      </c>
      <c r="E16" s="456">
        <f>IF(ISNUMBER(
   IF(D_I="SI",(Datos!L16-Datos!V16)/Datos!V16,(Datos!L16+Datos!AF16-(Datos!V16+Datos!AN16))/(Datos!V16+Datos!AN16))
     ),IF(D_I="SI",(Datos!L16-Datos!V16)/Datos!V16,(Datos!L16+Datos!AF16-(Datos!V16+Datos!AN16))/(Datos!V16+Datos!AN16))," - ")</f>
        <v>0.3330781010719755</v>
      </c>
      <c r="F16" s="456">
        <f>IF(ISNUMBER((Datos!M16-Datos!W16)/Datos!W16),(Datos!M16-Datos!W16)/Datos!W16," - ")</f>
        <v>-5.0632911392405063E-2</v>
      </c>
      <c r="G16" s="457">
        <f>IF(ISNUMBER((Datos!N16-Datos!X16)/Datos!X16),(Datos!N16-Datos!X16)/Datos!X16," - ")</f>
        <v>-8.9514066496163679E-3</v>
      </c>
      <c r="H16" s="455">
        <f>IF(ISNUMBER(((NºAsuntos!G16/NºAsuntos!E16)-Datos!BD16)/Datos!BD16),((NºAsuntos!G16/NºAsuntos!E16)-Datos!BD16)/Datos!BD16," - ")</f>
        <v>-0.14100754110678979</v>
      </c>
      <c r="I16" s="456">
        <f>IF(ISNUMBER(((NºAsuntos!I16/NºAsuntos!G16)-Datos!BE16)/Datos!BE16),((NºAsuntos!I16/NºAsuntos!G16)-Datos!BE16)/Datos!BE16," - ")</f>
        <v>0.37238829659361239</v>
      </c>
      <c r="J16" s="461">
        <f>IF(ISNUMBER((('Resol  Asuntos'!D16/NºAsuntos!G16)-Datos!BF16)/Datos!BF16),(('Resol  Asuntos'!D16/NºAsuntos!G16)-Datos!BF16)/Datos!BF16," - ")</f>
        <v>-2.2637698024964976E-2</v>
      </c>
      <c r="K16" s="462">
        <f>IF(ISNUMBER((((NºAsuntos!C16+NºAsuntos!E16)/NºAsuntos!G16)-Datos!BG16)/Datos!BG16),(((NºAsuntos!C16+NºAsuntos!E16)/NºAsuntos!G16)-Datos!BG16)/Datos!BG16," - ")</f>
        <v>0.20169512185269059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0.55913978494623651</v>
      </c>
      <c r="C17" s="456">
        <f>IF(ISNUMBER(
   IF(D_I="SI",(Datos!J17-Datos!T17)/Datos!T17,(Datos!J17+Datos!AD17-(Datos!T17+Datos!AL17))/(Datos!T17+Datos!AL17))
     ),IF(D_I="SI",(Datos!J17-Datos!T17)/Datos!T17,(Datos!J17+Datos!AD17-(Datos!T17+Datos!AL17))/(Datos!T17+Datos!AL17))," - ")</f>
        <v>-0.12048192771084337</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0.72631578947368425</v>
      </c>
      <c r="F17" s="456">
        <f>IF(ISNUMBER((Datos!M17-Datos!W17)/Datos!W17),(Datos!M17-Datos!W17)/Datos!W17," - ")</f>
        <v>0.4</v>
      </c>
      <c r="G17" s="457">
        <f>IF(ISNUMBER((Datos!N17-Datos!X17)/Datos!X17),(Datos!N17-Datos!X17)/Datos!X17," - ")</f>
        <v>-0.14285714285714285</v>
      </c>
      <c r="H17" s="455">
        <f>IF(ISNUMBER(((NºAsuntos!G17/NºAsuntos!E17)-Datos!BD17)/Datos!BD17),((NºAsuntos!G17/NºAsuntos!E17)-Datos!BD17)/Datos!BD17," - ")</f>
        <v>-0.24200913242009139</v>
      </c>
      <c r="I17" s="456">
        <f>IF(ISNUMBER(((NºAsuntos!I17/NºAsuntos!G17)-Datos!BE17)/Datos!BE17),((NºAsuntos!I17/NºAsuntos!G17)-Datos!BE17)/Datos!BE17," - ")</f>
        <v>1.5894736842105261</v>
      </c>
      <c r="J17" s="461">
        <f>IF(ISNUMBER((('Resol  Asuntos'!D17/NºAsuntos!G17)-Datos!BF17)/Datos!BF17),(('Resol  Asuntos'!D17/NºAsuntos!G17)-Datos!BF17)/Datos!BF17," - ")</f>
        <v>1.1000000000000001</v>
      </c>
      <c r="K17" s="462">
        <f>IF(ISNUMBER((((NºAsuntos!C17+NºAsuntos!E17)/NºAsuntos!G17)-Datos!BG17)/Datos!BG17),(((NºAsuntos!C17+NºAsuntos!E17)/NºAsuntos!G17)-Datos!BG17)/Datos!BG17," - ")</f>
        <v>0.85795454545454564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0.22357142857142856</v>
      </c>
      <c r="C18" s="855">
        <f>IF(ISNUMBER(
   IF(Criterios!B14="SI",(Datos!J18-Datos!T18)/Datos!T18,(Datos!J18+Datos!AD18-(Datos!T18+Datos!AL18))/(Datos!T18+Datos!AL18))
     ),IF(Criterios!B14="SI",(Datos!J18-Datos!T18)/Datos!T18,(Datos!J18+Datos!AD18-(Datos!T18+Datos!AL18))/(Datos!T18+Datos!AL18))," - ")</f>
        <v>0.11405622489959839</v>
      </c>
      <c r="D18" s="855">
        <f>IF(ISNUMBER(
   IF(Criterios!B14="SI",(Datos!K18-Datos!U18)/Datos!U18,(Datos!K18+Datos!AE18-(Datos!U18+Datos!AM18))/(Datos!U18+Datos!AM18))
     ),IF(Criterios!B14="SI",(Datos!K18-Datos!U18)/Datos!U18,(Datos!K18+Datos!AE18-(Datos!U18+Datos!AM18))/(Datos!U18+Datos!AM18))," - ")</f>
        <v>-4.8107255520504731E-2</v>
      </c>
      <c r="E18" s="855">
        <f>IF(ISNUMBER(
   IF(Criterios!B14="SI",(Datos!L18-Datos!V18)/Datos!V18,(Datos!L18+Datos!AF18-(Datos!V18+Datos!AN18))/(Datos!V18+Datos!AN18))
     ),IF(Criterios!B14="SI",(Datos!L18-Datos!V18)/Datos!V18,(Datos!L18+Datos!AF18-(Datos!V18+Datos!AN18))/(Datos!V18+Datos!AN18))," - ")</f>
        <v>0.35974304068522484</v>
      </c>
      <c r="F18" s="856">
        <f>IF(ISNUMBER((Datos!M18-Datos!W18)/Datos!W18),(Datos!M18-Datos!W18)/Datos!W18," - ")</f>
        <v>-2.3809523809523808E-2</v>
      </c>
      <c r="G18" s="857">
        <f>IF(ISNUMBER((Datos!N18-Datos!X18)/Datos!X18),(Datos!N18-Datos!X18)/Datos!X18," - ")</f>
        <v>-1.7899761336515514E-2</v>
      </c>
      <c r="H18" s="857">
        <f>IF(ISNUMBER(((NºAsuntos!G18/NºAsuntos!E18)-Datos!BD18)/Datos!BD18),((NºAsuntos!G18/NºAsuntos!E18)-Datos!BD18)/Datos!BD18," - ")</f>
        <v>-0.14556130722640839</v>
      </c>
      <c r="I18" s="857">
        <f>IF(ISNUMBER(((NºAsuntos!I18/NºAsuntos!G18)-Datos!BE18)/Datos!BE18),((NºAsuntos!I18/NºAsuntos!G18)-Datos!BE18)/Datos!BE18," - ")</f>
        <v>0.42846244870659905</v>
      </c>
      <c r="J18" s="857">
        <f>IF(ISNUMBER((('Resol  Asuntos'!D18/NºAsuntos!G18)-Datos!BF18)/Datos!BF18),(('Resol  Asuntos'!D18/NºAsuntos!G18)-Datos!BF18)/Datos!BF18," - ")</f>
        <v>2.5525703239042005E-2</v>
      </c>
      <c r="K18" s="857">
        <f>IF(ISNUMBER((((NºAsuntos!C18+NºAsuntos!E18)/NºAsuntos!G18)-Datos!BG18)/Datos!BG18),(((NºAsuntos!C18+NºAsuntos!E18)/NºAsuntos!G18)-Datos!BG18)/Datos!BG18," - ")</f>
        <v>0.23125498235716968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0.10330228619813717</v>
      </c>
      <c r="C19" s="802">
        <f>IF(ISNUMBER(
   IF(J_V="SI",(Datos!J19-Datos!T19)/Datos!T19,(Datos!J19+Datos!Z19-(Datos!T19+Datos!AH19))/(Datos!T19+Datos!AH19))
     ),IF(J_V="SI",(Datos!J19-Datos!T19)/Datos!T19,(Datos!J19+Datos!Z19-(Datos!T19+Datos!AH19))/(Datos!T19+Datos!AH19))," - ")</f>
        <v>0.34085974815458098</v>
      </c>
      <c r="D19" s="802">
        <f>IF(ISNUMBER(
   IF(J_V="SI",(Datos!K19-Datos!U19)/Datos!U19,(Datos!K19+Datos!AA19-(Datos!U19+Datos!AI19))/(Datos!U19+Datos!AI19))
     ),IF(J_V="SI",(Datos!K19-Datos!U19)/Datos!U19,(Datos!K19+Datos!AA19-(Datos!U19+Datos!AI19))/(Datos!U19+Datos!AI19))," - ")</f>
        <v>-0.12053396152336082</v>
      </c>
      <c r="E19" s="802">
        <f>IF(ISNUMBER(
   IF(J_V="SI",(Datos!L19-Datos!V19)/Datos!V19,(Datos!L19+Datos!AB19-(Datos!V19+Datos!AJ19))/(Datos!V19+Datos!AJ19))
     ),IF(J_V="SI",(Datos!L19-Datos!V19)/Datos!V19,(Datos!L19+Datos!AB19-(Datos!V19+Datos!AJ19))/(Datos!V19+Datos!AJ19))," - ")</f>
        <v>0.42973216972615108</v>
      </c>
      <c r="F19" s="803">
        <f>IF(ISNUMBER((Datos!M19-Datos!W19)/Datos!W19),(Datos!M19-Datos!W19)/Datos!W19," - ")</f>
        <v>6.5395095367847406E-2</v>
      </c>
      <c r="G19" s="804">
        <f>IF(ISNUMBER((Datos!N19-Datos!X19)/Datos!X19),(Datos!N19-Datos!X19)/Datos!X19," - ")</f>
        <v>-9.0293453724604969E-2</v>
      </c>
      <c r="H19" s="805">
        <f>IF(ISNUMBER((Tasas!B19-Datos!BD19)/Datos!BD19),(Tasas!B19-Datos!BD19)/Datos!BD19," - ")</f>
        <v>-0.34410288645994175</v>
      </c>
      <c r="I19" s="806">
        <f>IF(ISNUMBER((Tasas!C19-Datos!BE19)/Datos!BE19),(Tasas!C19-Datos!BE19)/Datos!BE19," - ")</f>
        <v>0.62568206977344043</v>
      </c>
      <c r="J19" s="807">
        <f>IF(ISNUMBER((Tasas!D19-Datos!BF19)/Datos!BF19),(Tasas!D19-Datos!BF19)/Datos!BF19," - ")</f>
        <v>-0.3243344279201042</v>
      </c>
      <c r="K19" s="807">
        <f>IF(ISNUMBER((Tasas!E19-Datos!BG19)/Datos!BG19),(Tasas!E19-Datos!BG19)/Datos!BG19," - ")</f>
        <v>0.36092436525585248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cRxBXhe3JzoLKpLzxdgbBesi8NyHErFUVcvT4+C3szpmCHw0fkR+iRZ6N6Y1xEhVOIGxCzE67Z6OQ3yO8B0A==" saltValue="SUZKy5kWMS+jTvXYmr4G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TORTOSA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3.3846153846153846</v>
      </c>
      <c r="D10" s="444">
        <f>IF(ISNUMBER('Resol  Asuntos'!D10/NºAsuntos!G10),'Resol  Asuntos'!D10/NºAsuntos!G10," - ")</f>
        <v>0.46153846153846156</v>
      </c>
      <c r="E10" s="445">
        <f>IF(ISNUMBER((NºAsuntos!C10+NºAsuntos!E10)/NºAsuntos!G10),(NºAsuntos!C10+NºAsuntos!E10)/NºAsuntos!G10," - ")</f>
        <v>4.384615384615385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0.60426540284360186</v>
      </c>
      <c r="C12" s="443">
        <f>IF(ISNUMBER(NºAsuntos!I12/NºAsuntos!G12),NºAsuntos!I12/NºAsuntos!G12," - ")</f>
        <v>2.7470588235294118</v>
      </c>
      <c r="D12" s="444">
        <f>IF(ISNUMBER('Resol  Asuntos'!D12/NºAsuntos!G12),'Resol  Asuntos'!D12/NºAsuntos!G12," - ")</f>
        <v>0.21666666666666667</v>
      </c>
      <c r="E12" s="445">
        <f>IF(ISNUMBER((NºAsuntos!C12+NºAsuntos!E12)/NºAsuntos!G12),(NºAsuntos!C12+NºAsuntos!E12)/NºAsuntos!G12," - ")</f>
        <v>3.7647058823529411</v>
      </c>
      <c r="G12" s="463"/>
    </row>
    <row r="13" spans="1:7" ht="14.25" thickTop="1" thickBot="1">
      <c r="A13" s="848" t="str">
        <f>Datos!A13</f>
        <v>TOTAL</v>
      </c>
      <c r="B13" s="858">
        <f>IF(ISNUMBER(NºAsuntos!G13/NºAsuntos!E13),NºAsuntos!G13/NºAsuntos!E13," - ")</f>
        <v>0.60728982951205168</v>
      </c>
      <c r="C13" s="859">
        <f>IF(ISNUMBER(NºAsuntos!I13/NºAsuntos!G13),NºAsuntos!I13/NºAsuntos!G13," - ")</f>
        <v>2.7550822846079379</v>
      </c>
      <c r="D13" s="860">
        <f>IF(ISNUMBER('Resol  Asuntos'!D13/NºAsuntos!G13),'Resol  Asuntos'!D13/NºAsuntos!G13," - ")</f>
        <v>0.2197483059051307</v>
      </c>
      <c r="E13" s="861">
        <f>IF(ISNUMBER((NºAsuntos!C13+NºAsuntos!E13)/NºAsuntos!G13),(NºAsuntos!C13+NºAsuntos!E13)/NºAsuntos!G13," - ")</f>
        <v>3.7725072604065826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0.87747336377473362</v>
      </c>
      <c r="C16" s="443">
        <f>IF(ISNUMBER(NºAsuntos!I16/NºAsuntos!G16),NºAsuntos!I16/NºAsuntos!G16," - ")</f>
        <v>1.5099739809193409</v>
      </c>
      <c r="D16" s="444">
        <f>IF(ISNUMBER('Resol  Asuntos'!D16/NºAsuntos!G16),'Resol  Asuntos'!D16/NºAsuntos!G16," - ")</f>
        <v>0.13009540329575023</v>
      </c>
      <c r="E16" s="445">
        <f>IF(ISNUMBER((NºAsuntos!C16+NºAsuntos!E16)/NºAsuntos!G16),(NºAsuntos!C16+NºAsuntos!E16)/NºAsuntos!G16," - ")</f>
        <v>2.4995663486556809</v>
      </c>
      <c r="G16" s="463"/>
    </row>
    <row r="17" spans="1:7" ht="13.5" thickBot="1">
      <c r="A17" s="402" t="str">
        <f>Datos!A17</f>
        <v>Jdos. Violencia contra la mujer</v>
      </c>
      <c r="B17" s="442">
        <f>IF(ISNUMBER(NºAsuntos!G17/NºAsuntos!E17),NºAsuntos!G17/NºAsuntos!E17," - ")</f>
        <v>0.73972602739726023</v>
      </c>
      <c r="C17" s="443">
        <f>IF(ISNUMBER(NºAsuntos!I17/NºAsuntos!G17),NºAsuntos!I17/NºAsuntos!G17," - ")</f>
        <v>3.0370370370370372</v>
      </c>
      <c r="D17" s="444">
        <f>IF(ISNUMBER('Resol  Asuntos'!D17/NºAsuntos!G17),'Resol  Asuntos'!D17/NºAsuntos!G17," - ")</f>
        <v>0.25925925925925924</v>
      </c>
      <c r="E17" s="445">
        <f>IF(ISNUMBER((NºAsuntos!C17+NºAsuntos!E17)/NºAsuntos!G17),(NºAsuntos!C17+NºAsuntos!E17)/NºAsuntos!G17," - ")</f>
        <v>4.0370370370370372</v>
      </c>
      <c r="G17" s="463"/>
    </row>
    <row r="18" spans="1:7" ht="14.25" thickTop="1" thickBot="1">
      <c r="A18" s="848" t="str">
        <f>Datos!A18</f>
        <v>TOTAL</v>
      </c>
      <c r="B18" s="858">
        <f>IF(ISNUMBER(NºAsuntos!G18/NºAsuntos!E18),NºAsuntos!G18/NºAsuntos!E18," - ")</f>
        <v>0.87022350396539294</v>
      </c>
      <c r="C18" s="859">
        <f>IF(ISNUMBER(NºAsuntos!I18/NºAsuntos!G18),NºAsuntos!I18/NºAsuntos!G18," - ")</f>
        <v>1.5782932891466446</v>
      </c>
      <c r="D18" s="862">
        <f>IF(ISNUMBER('Resol  Asuntos'!D18/NºAsuntos!G18),'Resol  Asuntos'!D18/NºAsuntos!G18," - ")</f>
        <v>0.13587406793703397</v>
      </c>
      <c r="E18" s="861">
        <f>IF(ISNUMBER((NºAsuntos!C18+NºAsuntos!E18)/NºAsuntos!G18),(NºAsuntos!C18+NºAsuntos!E18)/NºAsuntos!G18," - ")</f>
        <v>2.568351284175642</v>
      </c>
      <c r="G18" s="463"/>
    </row>
    <row r="19" spans="1:7" ht="15.75" customHeight="1" thickTop="1" thickBot="1">
      <c r="A19" s="793" t="str">
        <f>Datos!A19</f>
        <v>TOTAL JURISDICCIONES</v>
      </c>
      <c r="B19" s="808">
        <f>IF(ISNUMBER(NºAsuntos!G19/NºAsuntos!E19),NºAsuntos!G19/NºAsuntos!E19," - ")</f>
        <v>0.72538860103626945</v>
      </c>
      <c r="C19" s="809">
        <f>IF(ISNUMBER(NºAsuntos!I19/NºAsuntos!G19),NºAsuntos!I19/NºAsuntos!G19," - ")</f>
        <v>2.1209821428571427</v>
      </c>
      <c r="D19" s="810">
        <f>IF(ISNUMBER('Resol  Asuntos'!D19/NºAsuntos!G19),'Resol  Asuntos'!D19/NºAsuntos!G19," - ")</f>
        <v>0.17455357142857142</v>
      </c>
      <c r="E19" s="811">
        <f>IF(ISNUMBER((NºAsuntos!C19+NºAsuntos!E19)/NºAsuntos!G19),(NºAsuntos!C19+NºAsuntos!E19)/NºAsuntos!G19," - ")</f>
        <v>3.1236607142857142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XmGUbrZoJ+vyZYo20gn6AdENcC9JcLnpbpfmUe02sOL2QmvupZ8JA1ophddRlbjdBEQhF/RMvp8vX35nMUrgg==" saltValue="2Sb3zQb4YnFGmNY5Ncms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TORTOSA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44</v>
      </c>
      <c r="G10" s="333">
        <f>IF(ISNUMBER(Datos!I10),Datos!I10," - ")</f>
        <v>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6</v>
      </c>
      <c r="Y10" s="334">
        <f t="shared" ref="Y10:Y12" si="0">SUM(W10:X10)</f>
        <v>19</v>
      </c>
      <c r="Z10" s="335" t="str">
        <f>IF(ISNUMBER(Datos!CC10),Datos!CC10," - ")</f>
        <v xml:space="preserve"> - </v>
      </c>
      <c r="AA10" s="332">
        <f>IF(ISNUMBER(Datos!L10),Datos!L10,"-")</f>
        <v>44</v>
      </c>
      <c r="AB10" s="334">
        <f>IF(ISNUMBER(Datos!R10),Datos!R10," - ")</f>
        <v>93</v>
      </c>
      <c r="AC10" s="334">
        <f t="shared" ref="AC10:AC12" si="1">IF(ISNUMBER(AA10+AB10),AA10+AB10," - ")</f>
        <v>137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10.153846153846155</v>
      </c>
      <c r="AN10" s="244">
        <f>IF(ISNUMBER('Resol  Asuntos'!D10/NºAsuntos!G10),'Resol  Asuntos'!D10/NºAsuntos!G10," - ")</f>
        <v>0.46153846153846156</v>
      </c>
      <c r="AO10" s="245">
        <f>IF(ISNUMBER((NºAsuntos!C10+NºAsuntos!E10)/NºAsuntos!G10),(NºAsuntos!C10+NºAsuntos!E10)/NºAsuntos!G10," - ")</f>
        <v>4.384615384615385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210</v>
      </c>
      <c r="Y12" s="334">
        <f t="shared" si="0"/>
        <v>210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221</v>
      </c>
      <c r="AJ12" s="229" t="str">
        <f>IF(ISNUMBER(Datos!BW12),Datos!BW12," - ")</f>
        <v xml:space="preserve"> - </v>
      </c>
      <c r="AK12" s="228" t="str">
        <f>IF(ISNUMBER(Datos!BX12),Datos!BX12," - ")</f>
        <v xml:space="preserve"> - </v>
      </c>
      <c r="AL12" s="243">
        <f>IF(ISNUMBER(NºAsuntos!G12/NºAsuntos!E12),NºAsuntos!G12/NºAsuntos!E12," - ")</f>
        <v>0.60426540284360186</v>
      </c>
      <c r="AM12" s="260">
        <f>IF(ISNUMBER(((NºAsuntos!I12/NºAsuntos!G12)*11)/factor_trimestre),((NºAsuntos!I12/NºAsuntos!G12)*11)/factor_trimestre," - ")</f>
        <v>8.2411764705882362</v>
      </c>
      <c r="AN12" s="244">
        <f>IF(ISNUMBER('Resol  Asuntos'!D12/NºAsuntos!G12),'Resol  Asuntos'!D12/NºAsuntos!G12," - ")</f>
        <v>0.21666666666666667</v>
      </c>
      <c r="AO12" s="245">
        <f>IF(ISNUMBER((NºAsuntos!C12+NºAsuntos!E12)/NºAsuntos!G12),(NºAsuntos!C12+NºAsuntos!E12)/NºAsuntos!G12," - ")</f>
        <v>3.7647058823529411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44</v>
      </c>
      <c r="G13" s="866">
        <f t="shared" si="3"/>
        <v>44</v>
      </c>
      <c r="H13" s="865">
        <f t="shared" si="3"/>
        <v>0</v>
      </c>
      <c r="I13" s="867">
        <f t="shared" si="3"/>
        <v>0</v>
      </c>
      <c r="J13" s="867">
        <f t="shared" si="3"/>
        <v>0</v>
      </c>
      <c r="K13" s="867">
        <f t="shared" si="3"/>
        <v>0</v>
      </c>
      <c r="L13" s="867">
        <f t="shared" si="3"/>
        <v>227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216</v>
      </c>
      <c r="Y13" s="868">
        <f t="shared" si="4"/>
        <v>229</v>
      </c>
      <c r="Z13" s="868">
        <f t="shared" si="4"/>
        <v>0</v>
      </c>
      <c r="AA13" s="868">
        <f t="shared" si="4"/>
        <v>44</v>
      </c>
      <c r="AB13" s="868">
        <f t="shared" si="4"/>
        <v>4858</v>
      </c>
      <c r="AC13" s="868">
        <f t="shared" si="4"/>
        <v>137</v>
      </c>
      <c r="AD13" s="868">
        <f t="shared" si="4"/>
        <v>0</v>
      </c>
      <c r="AE13" s="872">
        <f t="shared" si="4"/>
        <v>0</v>
      </c>
      <c r="AF13" s="865">
        <f t="shared" si="4"/>
        <v>0</v>
      </c>
      <c r="AG13" s="873">
        <f t="shared" si="4"/>
        <v>0</v>
      </c>
      <c r="AH13" s="870">
        <f t="shared" si="4"/>
        <v>0</v>
      </c>
      <c r="AI13" s="865">
        <f t="shared" si="4"/>
        <v>227</v>
      </c>
      <c r="AJ13" s="867">
        <f t="shared" si="4"/>
        <v>0</v>
      </c>
      <c r="AK13" s="870">
        <f>SUBTOTAL(9,AK9:AK12)</f>
        <v>0</v>
      </c>
      <c r="AL13" s="874">
        <f>IF(ISNUMBER(NºAsuntos!G13/NºAsuntos!E13),NºAsuntos!G13/NºAsuntos!E13," - ")</f>
        <v>0.60728982951205168</v>
      </c>
      <c r="AM13" s="874">
        <f>IF(ISNUMBER(((NºAsuntos!I13/NºAsuntos!G13)*11)/factor_trimestre),((NºAsuntos!I13/NºAsuntos!G13)*11)/factor_trimestre," - ")</f>
        <v>8.2652468538238146</v>
      </c>
      <c r="AN13" s="875">
        <f>IF(ISNUMBER('Resol  Asuntos'!D13/NºAsuntos!G13),'Resol  Asuntos'!D13/NºAsuntos!G13," - ")</f>
        <v>0.2197483059051307</v>
      </c>
      <c r="AO13" s="876">
        <f>IF(ISNUMBER((NºAsuntos!C13+NºAsuntos!E13)/NºAsuntos!G13),(NºAsuntos!C13+NºAsuntos!E13)/NºAsuntos!G13," - ")</f>
        <v>3.7725072604065826</v>
      </c>
      <c r="AP13" s="877" t="str">
        <f t="shared" si="2"/>
        <v xml:space="preserve"> - </v>
      </c>
      <c r="AQ13" s="877">
        <f>IF(ISNUMBER((H13-W13+K13)/(F13)),(H13-W13+K13)/(F13)," - ")</f>
        <v>-0.29545454545454547</v>
      </c>
      <c r="AR13" s="878">
        <f>IF(ISNUMBER((Datos!P13-Datos!Q13)/(Datos!R13-Datos!P13+Datos!Q13)),(Datos!P13-Datos!Q13)/(Datos!R13-Datos!P13+Datos!Q13)," - ")</f>
        <v>2.2694450175366207E-3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1580</v>
      </c>
      <c r="G16" s="333">
        <f>IF(ISNUMBER(IF(D_I="SI",Datos!I16,Datos!I16+Datos!AC16)),IF(D_I="SI",Datos!I16,Datos!I16+Datos!AC16)," - ")</f>
        <v>1568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1153</v>
      </c>
      <c r="X16" s="226">
        <f>IF(ISNUMBER(Datos!Q16),Datos!Q16," - ")</f>
        <v>49</v>
      </c>
      <c r="Y16" s="334">
        <f t="shared" ref="Y16:Y17" si="7">SUM(W16:X16)</f>
        <v>1202</v>
      </c>
      <c r="Z16" s="335" t="str">
        <f>IF(ISNUMBER(Datos!CC16),Datos!CC16," - ")</f>
        <v xml:space="preserve"> - </v>
      </c>
      <c r="AA16" s="332">
        <f>IF(ISNUMBER(IF(D_I="SI",Datos!L16,Datos!L16+Datos!AF16)),IF(D_I="SI",Datos!L16,Datos!L16+Datos!AF16)," - ")</f>
        <v>1741</v>
      </c>
      <c r="AB16" s="334">
        <f>IF(ISNUMBER(Datos!R16),Datos!R16," - ")</f>
        <v>102</v>
      </c>
      <c r="AC16" s="334">
        <f t="shared" si="6"/>
        <v>1843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150</v>
      </c>
      <c r="AJ16" s="231" t="str">
        <f>IF(ISNUMBER(Datos!BW16),Datos!BW16," - ")</f>
        <v xml:space="preserve"> - </v>
      </c>
      <c r="AK16" s="232" t="str">
        <f>IF(ISNUMBER(Datos!BX16),Datos!BX16," - ")</f>
        <v xml:space="preserve"> - </v>
      </c>
      <c r="AL16" s="243">
        <f>IF(ISNUMBER(NºAsuntos!G16/NºAsuntos!E16),NºAsuntos!G16/NºAsuntos!E16," - ")</f>
        <v>0.87747336377473362</v>
      </c>
      <c r="AM16" s="260">
        <f>IF(ISNUMBER(((NºAsuntos!I16/NºAsuntos!G16)*11)/factor_trimestre),((NºAsuntos!I16/NºAsuntos!G16)*11)/factor_trimestre," - ")</f>
        <v>4.5299219427580226</v>
      </c>
      <c r="AN16" s="244">
        <f>IF(ISNUMBER('Resol  Asuntos'!D16/NºAsuntos!G16),'Resol  Asuntos'!D16/NºAsuntos!G16," - ")</f>
        <v>0.13009540329575023</v>
      </c>
      <c r="AO16" s="245">
        <f>IF(ISNUMBER((NºAsuntos!C16+NºAsuntos!E16)/NºAsuntos!G16),(NºAsuntos!C16+NºAsuntos!E16)/NºAsuntos!G16," - ")</f>
        <v>2.4995663486556809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54</v>
      </c>
      <c r="X17" s="226">
        <f>IF(ISNUMBER(Datos!Q17),Datos!Q17," - ")</f>
        <v>0</v>
      </c>
      <c r="Y17" s="334">
        <f t="shared" si="7"/>
        <v>54</v>
      </c>
      <c r="Z17" s="335" t="str">
        <f>IF(ISNUMBER(Datos!CC17),Datos!CC17," - ")</f>
        <v xml:space="preserve"> - </v>
      </c>
      <c r="AA17" s="332">
        <f>IF(ISNUMBER(Datos!L17),Datos!L17,"-")</f>
        <v>164</v>
      </c>
      <c r="AB17" s="334">
        <f>IF(ISNUMBER(Datos!R17),Datos!R17," - ")</f>
        <v>2</v>
      </c>
      <c r="AC17" s="334">
        <f t="shared" si="6"/>
        <v>166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0.73972602739726023</v>
      </c>
      <c r="AM17" s="260">
        <f>IF(ISNUMBER(((NºAsuntos!I17/NºAsuntos!G17)*11)/factor_trimestre),((NºAsuntos!I17/NºAsuntos!G17)*11)/factor_trimestre," - ")</f>
        <v>9.1111111111111125</v>
      </c>
      <c r="AN17" s="244">
        <f>IF(ISNUMBER('Resol  Asuntos'!D17/NºAsuntos!G17),'Resol  Asuntos'!D17/NºAsuntos!G17," - ")</f>
        <v>0.25925925925925924</v>
      </c>
      <c r="AO17" s="245">
        <f>IF(ISNUMBER((NºAsuntos!C17+NºAsuntos!E17)/NºAsuntos!G17),(NºAsuntos!C17+NºAsuntos!E17)/NºAsuntos!G17," - ")</f>
        <v>4.0370370370370372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1580</v>
      </c>
      <c r="G18" s="866">
        <f>SUBTOTAL(9,G15:G17)</f>
        <v>1713</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1207</v>
      </c>
      <c r="X18" s="867">
        <f t="shared" si="11"/>
        <v>49</v>
      </c>
      <c r="Y18" s="868">
        <f t="shared" si="11"/>
        <v>1256</v>
      </c>
      <c r="Z18" s="868">
        <f t="shared" si="11"/>
        <v>0</v>
      </c>
      <c r="AA18" s="868">
        <f t="shared" si="11"/>
        <v>1905</v>
      </c>
      <c r="AB18" s="868">
        <f t="shared" si="11"/>
        <v>104</v>
      </c>
      <c r="AC18" s="868">
        <f t="shared" si="11"/>
        <v>2009</v>
      </c>
      <c r="AD18" s="868">
        <f t="shared" si="11"/>
        <v>0</v>
      </c>
      <c r="AE18" s="872">
        <f t="shared" si="11"/>
        <v>0</v>
      </c>
      <c r="AF18" s="865">
        <f t="shared" si="11"/>
        <v>0</v>
      </c>
      <c r="AG18" s="873">
        <f t="shared" si="11"/>
        <v>0</v>
      </c>
      <c r="AH18" s="870">
        <f t="shared" si="11"/>
        <v>0</v>
      </c>
      <c r="AI18" s="865">
        <f t="shared" si="11"/>
        <v>164</v>
      </c>
      <c r="AJ18" s="867">
        <f t="shared" si="11"/>
        <v>0</v>
      </c>
      <c r="AK18" s="870">
        <f t="shared" si="11"/>
        <v>0</v>
      </c>
      <c r="AL18" s="874">
        <f>IF(ISNUMBER(NºAsuntos!G18/NºAsuntos!E18),NºAsuntos!G18/NºAsuntos!E18," - ")</f>
        <v>0.87022350396539294</v>
      </c>
      <c r="AM18" s="874">
        <f>IF(ISNUMBER(((NºAsuntos!I18/NºAsuntos!G18)*11)/factor_trimestre),((NºAsuntos!I18/NºAsuntos!G18)*11)/factor_trimestre," - ")</f>
        <v>4.7348798674399344</v>
      </c>
      <c r="AN18" s="875">
        <f>IF(ISNUMBER('Resol  Asuntos'!D18/NºAsuntos!G18),'Resol  Asuntos'!D18/NºAsuntos!G18," - ")</f>
        <v>0.13587406793703397</v>
      </c>
      <c r="AO18" s="876">
        <f>IF(ISNUMBER((NºAsuntos!C18+NºAsuntos!E18)/NºAsuntos!G18),(NºAsuntos!C18+NºAsuntos!E18)/NºAsuntos!G18," - ")</f>
        <v>2.568351284175642</v>
      </c>
      <c r="AP18" s="877" t="str">
        <f t="shared" si="2"/>
        <v xml:space="preserve"> - </v>
      </c>
      <c r="AQ18" s="877">
        <f>IF(ISNUMBER((H18-W18+K18)/(F18)),(H18-W18+K18)/(F18)," - ")</f>
        <v>-0.76392405063291136</v>
      </c>
      <c r="AR18" s="878">
        <f>IF(ISNUMBER((Datos!P18-Datos!Q18)/(Datos!R18-Datos!P18+Datos!Q18)),(Datos!P18-Datos!Q18)/(Datos!R18-Datos!P18+Datos!Q18)," - ")</f>
        <v>-0.15447154471544716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1624</v>
      </c>
      <c r="G19" s="821">
        <f t="shared" si="13"/>
        <v>1757</v>
      </c>
      <c r="H19" s="820">
        <f t="shared" si="13"/>
        <v>0</v>
      </c>
      <c r="I19" s="822">
        <f t="shared" si="13"/>
        <v>0</v>
      </c>
      <c r="J19" s="822">
        <f t="shared" si="13"/>
        <v>0</v>
      </c>
      <c r="K19" s="881">
        <f t="shared" si="13"/>
        <v>0</v>
      </c>
      <c r="L19" s="822">
        <f t="shared" si="13"/>
        <v>257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1220</v>
      </c>
      <c r="X19" s="821">
        <f t="shared" si="14"/>
        <v>265</v>
      </c>
      <c r="Y19" s="828">
        <f t="shared" si="14"/>
        <v>1485</v>
      </c>
      <c r="Z19" s="828">
        <f t="shared" si="14"/>
        <v>0</v>
      </c>
      <c r="AA19" s="828">
        <f t="shared" si="14"/>
        <v>1949</v>
      </c>
      <c r="AB19" s="828">
        <f t="shared" si="14"/>
        <v>4962</v>
      </c>
      <c r="AC19" s="828">
        <f t="shared" si="14"/>
        <v>2146</v>
      </c>
      <c r="AD19" s="828">
        <f t="shared" si="14"/>
        <v>0</v>
      </c>
      <c r="AE19" s="830">
        <f t="shared" si="14"/>
        <v>0</v>
      </c>
      <c r="AF19" s="831">
        <f t="shared" si="14"/>
        <v>0</v>
      </c>
      <c r="AG19" s="832">
        <f t="shared" si="14"/>
        <v>0</v>
      </c>
      <c r="AH19" s="830">
        <f t="shared" si="14"/>
        <v>0</v>
      </c>
      <c r="AI19" s="820">
        <f t="shared" si="14"/>
        <v>391</v>
      </c>
      <c r="AJ19" s="820">
        <f t="shared" si="14"/>
        <v>0</v>
      </c>
      <c r="AK19" s="830">
        <f t="shared" si="14"/>
        <v>0</v>
      </c>
      <c r="AL19" s="884">
        <f>IF(ISNUMBER(NºAsuntos!G19/NºAsuntos!E19),NºAsuntos!G19/NºAsuntos!E19," - ")</f>
        <v>0.72538860103626945</v>
      </c>
      <c r="AM19" s="885">
        <f>IF(ISNUMBER(((NºAsuntos!I19/NºAsuntos!G19)*11)/factor_trimestre),((NºAsuntos!I19/NºAsuntos!G19)*11)/factor_trimestre," - ")</f>
        <v>6.3629464285714281</v>
      </c>
      <c r="AN19" s="885">
        <f>IF(ISNUMBER('Resol  Asuntos'!D19/NºAsuntos!G19),'Resol  Asuntos'!D19/NºAsuntos!G19," - ")</f>
        <v>0.17455357142857142</v>
      </c>
      <c r="AO19" s="886">
        <f>IF(ISNUMBER((NºAsuntos!C19+NºAsuntos!E19)/NºAsuntos!G19),(NºAsuntos!C19+NºAsuntos!E19)/NºAsuntos!G19," - ")</f>
        <v>3.1236607142857142</v>
      </c>
      <c r="AP19" s="887" t="str">
        <f t="shared" si="2"/>
        <v xml:space="preserve"> - </v>
      </c>
      <c r="AQ19" s="888">
        <f>IF(OR(ISNUMBER(FIND("01",Criterios!A8,1)),ISNUMBER(FIND("02",Criterios!A8,1)),ISNUMBER(FIND("03",Criterios!A8,1)),ISNUMBER(FIND("04",Criterios!A8,1))),(I19-W19+K19)/(F19-K19),(H19-W19+K19)/(F19-K19))</f>
        <v>-0.75123152709359609</v>
      </c>
      <c r="AR19" s="889">
        <f>IF(ISNUMBER((Datos!P19-Datos!Q19)/(Datos!R19-Datos!P19+Datos!Q19)),(Datos!P19-Datos!Q19)/(Datos!R19-Datos!P19+Datos!Q19)," - ")</f>
        <v>-1.6096579476861167E-3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702.8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886.81001347526512</v>
      </c>
      <c r="G21" s="253">
        <f>IF(ISNUMBER(STDEV(G8:G18)),STDEV(G8:G18),"-")</f>
        <v>858.5235582090919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632.21673498888026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98.058485949287757</v>
      </c>
      <c r="AJ21" s="252">
        <f t="shared" si="18"/>
        <v>0</v>
      </c>
      <c r="AK21" s="254">
        <f t="shared" si="18"/>
        <v>0</v>
      </c>
      <c r="AL21" s="249">
        <f t="shared" si="18"/>
        <v>0.16019660020720455</v>
      </c>
      <c r="AM21" s="250">
        <f t="shared" si="18"/>
        <v>2.3341190435678327</v>
      </c>
      <c r="AN21" s="250">
        <f t="shared" si="18"/>
        <v>0.1210610381086016</v>
      </c>
      <c r="AO21" s="251">
        <f t="shared" si="18"/>
        <v>0.78536613535401367</v>
      </c>
      <c r="AP21" s="291" t="str">
        <f t="shared" si="18"/>
        <v>-</v>
      </c>
      <c r="AQ21" s="292">
        <f t="shared" si="18"/>
        <v>0.33125796389072903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oO0v5KunYwT8csyUoeKMSLq16n/oovsf8/ZVr7+JbnycGSb4J/AnZhDy3oDpAo8pz74fWC/tyRh4oOtdI6KTQ==" saltValue="wMjXcHYGiPXNJ4dsH4dbv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TORTOSA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8.3333333333333329E-2</v>
      </c>
      <c r="F10" s="348">
        <f>IF(ISNUMBER((Datos!K10-Datos!U10)/Datos!U10),(Datos!K10-Datos!U10)/Datos!U10," - ")</f>
        <v>0.18181818181818182</v>
      </c>
      <c r="G10" s="349">
        <f>IF(ISNUMBER((Datos!L10-Datos!V10)/Datos!V10),(Datos!L10-Datos!V10)/Datos!V10," - ")</f>
        <v>0.29411764705882354</v>
      </c>
      <c r="H10" s="230">
        <f>IF(ISNUMBER((Datos!M10-Datos!W10)/Datos!W10),(Datos!M10-Datos!W10)/Datos!W10," - ")</f>
        <v>0.2</v>
      </c>
      <c r="I10" s="350">
        <f>IF(ISNUMBER((Tasas!C10-Datos!BE10)/Datos!BE10),(Tasas!C10-Datos!BE10)/Datos!BE10," - ")</f>
        <v>9.5022624434389164E-2</v>
      </c>
      <c r="J10" s="349">
        <f>IF(ISNUMBER((Tasas!D10-Datos!BF10)/Datos!BF10),(Tasas!D10-Datos!BF10)/Datos!BF10," - ")</f>
        <v>1.5384615384615474E-2</v>
      </c>
      <c r="K10" s="351">
        <f>IF(ISNUMBER((Tasas!E10-Datos!BG10)/Datos!BG10),(Tasas!E10-Datos!BG10)/Datos!BG10," - ")</f>
        <v>7.1794871794871915E-2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0.13917525773195877</v>
      </c>
      <c r="I12" s="350">
        <f>IF(ISNUMBER((Tasas!C12-Datos!BE12)/Datos!BE12),(Tasas!C12-Datos!BE12)/Datos!BE12," - ")</f>
        <v>0.84495264207377863</v>
      </c>
      <c r="J12" s="349">
        <f>IF(ISNUMBER((Tasas!D12-Datos!BF12)/Datos!BF12),(Tasas!D12-Datos!BF12)/Datos!BF12," - ")</f>
        <v>-0.43353951890034365</v>
      </c>
      <c r="K12" s="351">
        <f>IF(ISNUMBER((Tasas!E12-Datos!BG12)/Datos!BG12),(Tasas!E12-Datos!BG12)/Datos!BG12," - ")</f>
        <v>0.51256243942443891</v>
      </c>
      <c r="M12" t="e">
        <f>IF(Monitorios="SI",Datos!CE12,0)</f>
        <v>#REF!</v>
      </c>
      <c r="N12" t="e">
        <f>IF(Monitorios="SI",Datos!CF12,0)</f>
        <v>#REF!</v>
      </c>
      <c r="O12" t="e">
        <f>IF(Monitorios="SI",Datos!CG12,0)</f>
        <v>#REF!</v>
      </c>
      <c r="P12" t="e">
        <f>IF(Monitorios="SI",Datos!CH12,0)</f>
        <v>#REF!</v>
      </c>
      <c r="Q12">
        <f>IF(J_V="SI",0,Datos!AG12)</f>
        <v>34</v>
      </c>
      <c r="R12">
        <f>IF(J_V="SI",0,Datos!AH12)</f>
        <v>49</v>
      </c>
      <c r="S12">
        <f>IF(J_V="SI",0,Datos!AI12)</f>
        <v>43</v>
      </c>
      <c r="T12">
        <f>IF(J_V="SI",0,Datos!AJ12)</f>
        <v>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0.1407035175879397</v>
      </c>
      <c r="I13" s="357">
        <f>IF(ISNUMBER((Tasas!C13-Datos!BE13)/Datos!BE13),(Tasas!C13-Datos!BE13)/Datos!BE13," - ")</f>
        <v>0.83337681686449139</v>
      </c>
      <c r="J13" s="355">
        <f>IF(ISNUMBER((Tasas!D13-Datos!BF13)/Datos!BF13),(Tasas!D13-Datos!BF13)/Datos!BF13," - ")</f>
        <v>-0.42641207499456701</v>
      </c>
      <c r="K13" s="358">
        <f>IF(ISNUMBER((Tasas!E13-Datos!BG13)/Datos!BG13),(Tasas!E13-Datos!BG13)/Datos!BG13," - ")</f>
        <v>0.50735294784755358</v>
      </c>
      <c r="M13" t="e">
        <f>IF(Monitorios="SI",Datos!CE13,0)</f>
        <v>#REF!</v>
      </c>
      <c r="N13" t="e">
        <f>IF(Monitorios="SI",Datos!CF13,0)</f>
        <v>#REF!</v>
      </c>
      <c r="O13" t="e">
        <f>IF(Monitorios="SI",Datos!CG13,0)</f>
        <v>#REF!</v>
      </c>
      <c r="P13" t="e">
        <f>IF(Monitorios="SI",Datos!CH13,0)</f>
        <v>#REF!</v>
      </c>
      <c r="Q13">
        <f>IF(J_V="SI",0,Datos!AG13)</f>
        <v>34</v>
      </c>
      <c r="R13">
        <f>IF(J_V="SI",0,Datos!AH13)</f>
        <v>49</v>
      </c>
      <c r="S13">
        <f>IF(J_V="SI",0,Datos!AI13)</f>
        <v>43</v>
      </c>
      <c r="T13">
        <f>IF(J_V="SI",0,Datos!AJ13)</f>
        <v>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0.19969395562356543</v>
      </c>
      <c r="E16" s="348">
        <f>IF(ISNUMBER(
   IF(D_I="SI",(Datos!J16-Datos!T16)/Datos!T16,(Datos!J16+Datos!AD16-(Datos!T16+Datos!AL16))/(Datos!T16+Datos!AL16))
     ),IF(D_I="SI",(Datos!J16-Datos!T16)/Datos!T16,(Datos!J16+Datos!AD16-(Datos!T16+Datos!AL16))/(Datos!T16+Datos!AL16))," - ")</f>
        <v>0.13080895008605853</v>
      </c>
      <c r="F16" s="348">
        <f>IF(ISNUMBER(
   IF(D_I="SI",(Datos!K16-Datos!U16)/Datos!U16,(Datos!K16+Datos!AE16-(Datos!U16+Datos!AM16))/(Datos!U16+Datos!AM16))
     ),IF(D_I="SI",(Datos!K16-Datos!U16)/Datos!U16,(Datos!K16+Datos!AE16-(Datos!U16+Datos!AM16))/(Datos!U16+Datos!AM16))," - ")</f>
        <v>-2.8643639427127211E-2</v>
      </c>
      <c r="G16" s="349">
        <f>IF(ISNUMBER(
   IF(D_I="SI",(Datos!L16-Datos!V16)/Datos!V16,(Datos!L16+Datos!AF16-(Datos!V16+Datos!AN16))/(Datos!V16+Datos!AN16))
     ),IF(D_I="SI",(Datos!L16-Datos!V16)/Datos!V16,(Datos!L16+Datos!AF16-(Datos!V16+Datos!AN16))/(Datos!V16+Datos!AN16))," - ")</f>
        <v>0.3330781010719755</v>
      </c>
      <c r="H16" s="230">
        <f>IF(ISNUMBER((Datos!M16-Datos!W16)/Datos!W16),(Datos!M16-Datos!W16)/Datos!W16," - ")</f>
        <v>-5.0632911392405063E-2</v>
      </c>
      <c r="I16" s="350">
        <f>IF(ISNUMBER((Tasas!C16-Datos!BE16)/Datos!BE16),(Tasas!C16-Datos!BE16)/Datos!BE16," - ")</f>
        <v>0.37238829659361239</v>
      </c>
      <c r="J16" s="349">
        <f>IF(ISNUMBER((Tasas!D16-Datos!BF16)/Datos!BF16),(Tasas!D16-Datos!BF16)/Datos!BF16," - ")</f>
        <v>-2.2637698024964976E-2</v>
      </c>
      <c r="K16" s="351">
        <f>IF(ISNUMBER((Tasas!E16-Datos!BG16)/Datos!BG16),(Tasas!E16-Datos!BG16)/Datos!BG16," - ")</f>
        <v>0.20169512185269059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0.55913978494623651</v>
      </c>
      <c r="E17" s="348">
        <f>IF(ISNUMBER(
   IF(D_I="SI",(Datos!J17-Datos!T17)/Datos!T17,(Datos!J17+Datos!AD17-(Datos!T17+Datos!AL17))/(Datos!T17+Datos!AL17))
     ),IF(D_I="SI",(Datos!J17-Datos!T17)/Datos!T17,(Datos!J17+Datos!AD17-(Datos!T17+Datos!AL17))/(Datos!T17+Datos!AL17))," - ")</f>
        <v>-0.12048192771084337</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0.72631578947368425</v>
      </c>
      <c r="H17" s="230">
        <f>IF(ISNUMBER((Datos!M17-Datos!W17)/Datos!W17),(Datos!M17-Datos!W17)/Datos!W17," - ")</f>
        <v>0.4</v>
      </c>
      <c r="I17" s="350">
        <f>IF(ISNUMBER((Tasas!C17-Datos!BE17)/Datos!BE17),(Tasas!C17-Datos!BE17)/Datos!BE17," - ")</f>
        <v>1.5894736842105261</v>
      </c>
      <c r="J17" s="349">
        <f>IF(ISNUMBER((Tasas!D17-Datos!BF17)/Datos!BF17),(Tasas!D17-Datos!BF17)/Datos!BF17," - ")</f>
        <v>1.1000000000000001</v>
      </c>
      <c r="K17" s="351">
        <f>IF(ISNUMBER((Tasas!E17-Datos!BG17)/Datos!BG17),(Tasas!E17-Datos!BG17)/Datos!BG17," - ")</f>
        <v>0.85795454545454564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0.22357142857142856</v>
      </c>
      <c r="E18" s="354">
        <f>IF(ISNUMBER(
   IF(D_I="SI",(Datos!J18-Datos!T18)/Datos!T18,(Datos!J18+Datos!AD18-(Datos!T18+Datos!AL18))/(Datos!T18+Datos!AL18))
     ),IF(D_I="SI",(Datos!J18-Datos!T18)/Datos!T18,(Datos!J18+Datos!AD18-(Datos!T18+Datos!AL18))/(Datos!T18+Datos!AL18))," - ")</f>
        <v>0.11405622489959839</v>
      </c>
      <c r="F18" s="354">
        <f>IF(ISNUMBER(
   IF(D_I="SI",(Datos!K18-Datos!U18)/Datos!U18,(Datos!K18+Datos!AE18-(Datos!U18+Datos!AM18))/(Datos!U18+Datos!AM18))
     ),IF(D_I="SI",(Datos!K18-Datos!U18)/Datos!U18,(Datos!K18+Datos!AE18-(Datos!U18+Datos!AM18))/(Datos!U18+Datos!AM18))," - ")</f>
        <v>-4.8107255520504731E-2</v>
      </c>
      <c r="G18" s="355">
        <f>IF(ISNUMBER(
   IF(D_I="SI",(Datos!L18-Datos!V18)/Datos!V18,(Datos!L18+Datos!AF18-(Datos!V18+Datos!AN18))/(Datos!V18+Datos!AN18))
     ),IF(D_I="SI",(Datos!L18-Datos!V18)/Datos!V18,(Datos!L18+Datos!AF18-(Datos!V18+Datos!AN18))/(Datos!V18+Datos!AN18))," - ")</f>
        <v>0.35974304068522484</v>
      </c>
      <c r="H18" s="356">
        <f>IF(ISNUMBER((Datos!M18-Datos!W18)/Datos!W18),(Datos!M18-Datos!W18)/Datos!W18," - ")</f>
        <v>-2.3809523809523808E-2</v>
      </c>
      <c r="I18" s="357">
        <f>IF(ISNUMBER((Tasas!C18-Datos!BE18)/Datos!BE18),(Tasas!C18-Datos!BE18)/Datos!BE18," - ")</f>
        <v>0.42846244870659905</v>
      </c>
      <c r="J18" s="355">
        <f>IF(ISNUMBER((Tasas!D18-Datos!BF18)/Datos!BF18),(Tasas!D18-Datos!BF18)/Datos!BF18," - ")</f>
        <v>2.5525703239042005E-2</v>
      </c>
      <c r="K18" s="358">
        <f>IF(ISNUMBER((Tasas!E18-Datos!BG18)/Datos!BG18),(Tasas!E18-Datos!BG18)/Datos!BG18," - ")</f>
        <v>0.23125498235716968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0.10330228619813717</v>
      </c>
      <c r="E19" s="363">
        <f>IF(ISNUMBER(
   IF(J_V="SI",(Datos!J19-Datos!T19)/Datos!T19,(Datos!J19+Datos!Z19-(Datos!T19+Datos!AH19))/(Datos!T19+Datos!AH19))
     ),IF(J_V="SI",(Datos!J19-Datos!T19)/Datos!T19,(Datos!J19+Datos!Z19-(Datos!T19+Datos!AH19))/(Datos!T19+Datos!AH19))," - ")</f>
        <v>0.34085974815458098</v>
      </c>
      <c r="F19" s="363">
        <f>IF(ISNUMBER(
   IF(J_V="SI",(Datos!K19-Datos!U19)/Datos!U19,(Datos!K19+Datos!AA19-(Datos!U19+Datos!AI19))/(Datos!U19+Datos!AI19))
     ),IF(J_V="SI",(Datos!K19-Datos!U19)/Datos!U19,(Datos!K19+Datos!AA19-(Datos!U19+Datos!AI19))/(Datos!U19+Datos!AI19))," - ")</f>
        <v>-0.12053396152336082</v>
      </c>
      <c r="G19" s="364">
        <f>IF(ISNUMBER(
   IF(J_V="SI",(Datos!L19-Datos!V19)/Datos!V19,(Datos!L19+Datos!AB19-(Datos!V19+Datos!AJ19))/(Datos!V19+Datos!AJ19))
     ),IF(J_V="SI",(Datos!L19-Datos!V19)/Datos!V19,(Datos!L19+Datos!AB19-(Datos!V19+Datos!AJ19))/(Datos!V19+Datos!AJ19))," - ")</f>
        <v>0.42973216972615108</v>
      </c>
      <c r="H19" s="365">
        <f>IF(ISNUMBER((Datos!M19-Datos!W19)/Datos!W19),(Datos!M19-Datos!W19)/Datos!W19," - ")</f>
        <v>6.5395095367847406E-2</v>
      </c>
      <c r="I19" s="362">
        <f>IF(ISNUMBER((Tasas!C19-Datos!BE19)/Datos!BE19),(Tasas!C19-Datos!BE19)/Datos!BE19," - ")</f>
        <v>0.62568206977344043</v>
      </c>
      <c r="J19" s="363">
        <f>IF(ISNUMBER((Tasas!D19-Datos!BF19)/Datos!BF19),(Tasas!D19-Datos!BF19)/Datos!BF19," - ")</f>
        <v>-0.3243344279201042</v>
      </c>
      <c r="K19" s="364">
        <f>IF(ISNUMBER((Tasas!E19-Datos!BG19)/Datos!BG19),(Tasas!E19-Datos!BG19)/Datos!BG19," - ")</f>
        <v>0.36092436525585248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0.16413238364542679</v>
      </c>
      <c r="E21" s="278">
        <f t="shared" si="1"/>
        <v>0.11660988915388616</v>
      </c>
      <c r="F21" s="278">
        <f t="shared" si="1"/>
        <v>0.21156352983772156</v>
      </c>
      <c r="G21" s="279">
        <f t="shared" si="1"/>
        <v>0.20048738994236268</v>
      </c>
      <c r="H21" s="285">
        <f t="shared" si="1"/>
        <v>0.16381485547372029</v>
      </c>
      <c r="I21" s="277">
        <f t="shared" si="1"/>
        <v>0.52474829666337652</v>
      </c>
      <c r="J21" s="278">
        <f t="shared" si="1"/>
        <v>0.56036824677436547</v>
      </c>
      <c r="K21" s="279">
        <f t="shared" si="1"/>
        <v>0.28614166497497667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SKqUiuhY98O6ybMYf2MIcX9eYbt7kYURk5lC64Zj1Juu52SsoEuH+XunQZS2vInm03G5gQ2ja7kG45nsy2vQ==" saltValue="j/2h/XKqItIKXGgisEzih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